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lau\Desktop\CLAU\CUENTAS PUBLICAS\CUENTA PUBLICA 2025\SEGUNDO TRIMESTRE\"/>
    </mc:Choice>
  </mc:AlternateContent>
  <xr:revisionPtr revIDLastSave="0" documentId="13_ncr:1_{9BE440B9-68F0-4546-9599-A16877163D57}"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B3" i="8" s="1"/>
  <c r="C55" i="7"/>
  <c r="C54" i="7" s="1"/>
  <c r="B55" i="7"/>
  <c r="B54" i="7" s="1"/>
  <c r="C49" i="7"/>
  <c r="C48" i="7" s="1"/>
  <c r="C59" i="7" s="1"/>
  <c r="B49" i="7"/>
  <c r="B48" i="7" s="1"/>
  <c r="C41" i="7"/>
  <c r="B41" i="7"/>
  <c r="C36" i="7"/>
  <c r="C45" i="7" s="1"/>
  <c r="B36" i="7"/>
  <c r="B45" i="7" s="1"/>
  <c r="C16" i="7"/>
  <c r="B16" i="7"/>
  <c r="C4" i="7"/>
  <c r="B4" i="7"/>
  <c r="C57" i="6"/>
  <c r="B57" i="6"/>
  <c r="C50" i="6"/>
  <c r="C43" i="6" s="1"/>
  <c r="B50" i="6"/>
  <c r="B43" i="6" s="1"/>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C3" i="6" l="1"/>
  <c r="B3" i="6"/>
  <c r="F26" i="4"/>
  <c r="C28" i="4"/>
  <c r="B28" i="4"/>
  <c r="B24" i="3"/>
  <c r="D16" i="9"/>
  <c r="B33" i="7"/>
  <c r="E30" i="9"/>
  <c r="E12" i="8"/>
  <c r="B24" i="6"/>
  <c r="E16" i="9"/>
  <c r="C24" i="6"/>
  <c r="C33" i="7"/>
  <c r="C61" i="7" s="1"/>
  <c r="D30" i="9"/>
  <c r="D3" i="9" s="1"/>
  <c r="D34" i="9" s="1"/>
  <c r="E20" i="5"/>
  <c r="E38" i="5" s="1"/>
  <c r="F9" i="5"/>
  <c r="B66" i="3"/>
  <c r="B68" i="3" s="1"/>
  <c r="D3" i="8"/>
  <c r="F27" i="5"/>
  <c r="B59" i="7"/>
  <c r="C66" i="3"/>
  <c r="C68" i="3" s="1"/>
  <c r="E46" i="4"/>
  <c r="E4" i="8"/>
  <c r="F46" i="4"/>
  <c r="E26" i="4"/>
  <c r="F116" i="13" s="1"/>
  <c r="F16" i="8"/>
  <c r="F12" i="8" s="1"/>
  <c r="F6" i="8"/>
  <c r="F4" i="8" s="1"/>
  <c r="B38" i="5"/>
  <c r="F4" i="5"/>
  <c r="C20" i="5"/>
  <c r="C38" i="5" s="1"/>
  <c r="E3" i="9" l="1"/>
  <c r="E34" i="9" s="1"/>
  <c r="B61" i="7"/>
  <c r="F48" i="4"/>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2" i="14"/>
  <c r="H40" i="14"/>
  <c r="H39" i="14"/>
  <c r="H37" i="14"/>
  <c r="H36" i="14"/>
  <c r="H33" i="14"/>
  <c r="H32" i="14"/>
  <c r="H30" i="14"/>
  <c r="H28" i="14"/>
  <c r="H27" i="14"/>
  <c r="H25" i="14"/>
  <c r="H23" i="14"/>
  <c r="H22" i="14"/>
  <c r="H20" i="14"/>
  <c r="E20" i="14"/>
  <c r="E19" i="14"/>
  <c r="I19" i="14" s="1"/>
  <c r="H18" i="14"/>
  <c r="H17" i="14"/>
  <c r="H15" i="14"/>
  <c r="E15" i="14"/>
  <c r="H13" i="14"/>
  <c r="H12" i="14"/>
  <c r="H10" i="14"/>
  <c r="H9" i="14"/>
  <c r="H8" i="14"/>
  <c r="H7" i="14"/>
  <c r="E13" i="24" l="1"/>
  <c r="E17" i="24" s="1"/>
  <c r="E21" i="24" s="1"/>
  <c r="H51" i="14"/>
  <c r="I18" i="14"/>
  <c r="H50" i="14"/>
  <c r="E17" i="14"/>
  <c r="D42" i="18"/>
  <c r="G42" i="18" s="1"/>
  <c r="D12" i="18"/>
  <c r="C38" i="15"/>
  <c r="B27" i="20"/>
  <c r="E32" i="14" s="1"/>
  <c r="C27" i="20"/>
  <c r="E33" i="14" s="1"/>
  <c r="I47" i="14"/>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7" i="20"/>
  <c r="E34" i="14" s="1"/>
  <c r="I34" i="14" s="1"/>
  <c r="D50" i="1" s="1"/>
  <c r="E37" i="14"/>
  <c r="I37" i="14" s="1"/>
  <c r="E36" i="14"/>
  <c r="I36" i="14" s="1"/>
  <c r="I20" i="14"/>
  <c r="I14" i="14"/>
  <c r="I15" i="14"/>
  <c r="I7" i="14"/>
  <c r="D42" i="1" s="1"/>
  <c r="I9" i="14"/>
  <c r="D44" i="1" s="1"/>
  <c r="I10" i="14"/>
  <c r="D45" i="1" s="1"/>
  <c r="I8" i="14"/>
  <c r="D43" i="1" s="1"/>
  <c r="G24" i="19"/>
  <c r="E30" i="14"/>
  <c r="I30" i="14" s="1"/>
  <c r="H62" i="14"/>
  <c r="G25" i="22"/>
  <c r="E61" i="14"/>
  <c r="E51" i="14"/>
  <c r="I51" i="14" s="1"/>
  <c r="G25" i="16"/>
  <c r="G6" i="22"/>
  <c r="E55" i="14"/>
  <c r="E50" i="14"/>
  <c r="E40" i="14"/>
  <c r="I40" i="14" s="1"/>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H59" i="14"/>
  <c r="D6" i="22"/>
  <c r="D15" i="17"/>
  <c r="E41" i="14" l="1"/>
  <c r="I41" i="14" s="1"/>
  <c r="E56" i="14"/>
  <c r="I56" i="14" s="1"/>
  <c r="I46" i="14"/>
  <c r="D41" i="19"/>
  <c r="I50" i="14"/>
  <c r="H54" i="14"/>
  <c r="H57" i="14"/>
  <c r="I57" i="14" s="1"/>
  <c r="I54" i="14"/>
  <c r="I59" i="14"/>
  <c r="D52" i="1" s="1"/>
  <c r="D5" i="22"/>
  <c r="D36" i="22" s="1"/>
  <c r="E28" i="14"/>
  <c r="I28" i="14" s="1"/>
  <c r="G76" i="18"/>
  <c r="D46" i="1"/>
  <c r="G41" i="19"/>
  <c r="D76" i="18"/>
  <c r="I62" i="14"/>
  <c r="E60" i="14"/>
  <c r="I60" i="14" s="1"/>
  <c r="D48" i="1"/>
  <c r="D51" i="1"/>
  <c r="D49" i="1"/>
  <c r="G5" i="22"/>
  <c r="G36" i="22" s="1"/>
  <c r="H55" i="14"/>
  <c r="I55" i="14" s="1"/>
  <c r="E23" i="14"/>
  <c r="I23" i="14" s="1"/>
  <c r="I61" i="14"/>
  <c r="D54" i="1" l="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<sst xmlns="http://schemas.openxmlformats.org/spreadsheetml/2006/main" count="1833" uniqueCount="693">
  <si>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</si>
  <si>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</si>
  <si>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</si>
  <si>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</si>
  <si>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</si>
  <si>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</si>
  <si>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</si>
  <si>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</si>
  <si>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</si>
  <si>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</si>
  <si>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</si>
  <si>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</si>
  <si>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</si>
  <si>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</si>
  <si>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</si>
  <si>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</si>
  <si>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</si>
  <si>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</si>
  <si>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</si>
  <si>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</si>
  <si>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</si>
  <si>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</si>
  <si>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</si>
  <si>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</si>
  <si>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</si>
  <si>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</si>
  <si>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</si>
  <si>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</si>
  <si>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</si>
  <si>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</si>
  <si>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</si>
  <si>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</si>
  <si>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</si>
  <si>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</si>
  <si>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</si>
  <si>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</si>
  <si>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</si>
  <si>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</si>
  <si>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</si>
  <si>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</si>
  <si>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</si>
  <si>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</si>
  <si>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</si>
  <si>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</si>
  <si>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</si>
  <si>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</si>
  <si>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</si>
  <si>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</si>
  <si>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</si>
  <si>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</si>
  <si>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</si>
  <si>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</si>
  <si>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</si>
  <si>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</si>
  <si>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</si>
  <si>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</si>
  <si>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</si>
  <si>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</si>
  <si>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</si>
  <si>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</si>
  <si>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</si>
  <si>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</si>
  <si>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</si>
  <si>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</si>
  <si>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</si>
  <si>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</si>
  <si>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</si>
  <si>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</si>
  <si>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</si>
  <si>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</si>
  <si>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</si>
  <si>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</si>
  <si>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</si>
  <si>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</si>
  <si>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</si>
  <si>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</si>
  <si>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</si>
  <si>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</si>
  <si>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</si>
  <si>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</si>
  <si>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</si>
  <si>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</si>
  <si>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</si>
  <si>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</si>
  <si>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</si>
  <si>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</si>
  <si>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</si>
  <si>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</si>
  <si>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</si>
  <si>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</si>
  <si>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</si>
  <si>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</si>
  <si>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</si>
  <si>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</si>
  <si>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</si>
  <si>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</si>
  <si>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</si>
  <si>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</si>
  <si>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</si>
  <si>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</si>
  <si>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</si>
  <si>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</si>
  <si>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</si>
  <si>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</si>
  <si>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</si>
  <si>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</si>
  <si>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</si>
  <si>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</si>
  <si>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</si>
  <si>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</si>
  <si>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</si>
  <si>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</si>
  <si>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</si>
  <si>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</si>
  <si>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</si>
  <si>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</si>
  <si>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</si>
  <si>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</si>
  <si>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</si>
  <si>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</si>
  <si>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</si>
  <si>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</si>
  <si>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</si>
  <si>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</si>
  <si>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</si>
  <si>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</si>
  <si>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</si>
  <si>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</si>
  <si>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</si>
  <si>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</si>
  <si>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</si>
  <si>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</si>
  <si>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</si>
  <si>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</si>
  <si>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</si>
  <si>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</si>
  <si>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</si>
  <si>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</si>
  <si>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</si>
  <si>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</si>
  <si>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</si>
  <si>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</si>
  <si>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</si>
  <si>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</si>
  <si>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</si>
  <si>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</si>
  <si>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</si>
  <si>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</si>
  <si>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</si>
  <si>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</si>
  <si>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</si>
  <si>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</si>
  <si>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</si>
  <si>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</si>
  <si>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</si>
  <si>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</si>
  <si>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</si>
  <si>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</si>
  <si>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</si>
  <si>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</si>
  <si>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</si>
  <si>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</si>
  <si>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</si>
  <si>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</si>
  <si>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</si>
  <si>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</si>
  <si>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</si>
  <si>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</si>
  <si>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</si>
  <si>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</si>
  <si>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</si>
  <si>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</si>
  <si>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</si>
  <si>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</si>
  <si>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</si>
  <si>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</si>
  <si>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</si>
  <si>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</si>
  <si>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</si>
  <si>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</si>
  <si>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</si>
  <si>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</si>
  <si>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</si>
  <si>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</si>
  <si>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</si>
  <si>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</si>
  <si>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</si>
  <si>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</si>
  <si>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</si>
  <si>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</si>
  <si>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</si>
  <si>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</si>
  <si>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</si>
  <si>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</si>
  <si>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</si>
  <si>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</si>
  <si>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</si>
  <si>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</si>
  <si>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</si>
  <si>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</si>
  <si>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</si>
  <si>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</si>
  <si>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</si>
  <si>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</si>
  <si>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</si>
  <si>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</si>
  <si>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</si>
  <si>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</si>
  <si>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</si>
  <si>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</si>
  <si>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</si>
  <si>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</si>
  <si>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</si>
  <si>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</si>
  <si>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</si>
  <si>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</si>
  <si>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</si>
  <si>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</si>
  <si>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</si>
  <si>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</si>
  <si>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</si>
  <si>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</si>
  <si>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</si>
  <si>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</si>
  <si>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</si>
  <si>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</si>
  <si>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</si>
  <si>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</si>
  <si>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</si>
  <si>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</si>
  <si>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</si>
  <si>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</si>
  <si>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</si>
  <si>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</si>
  <si>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</si>
  <si>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</si>
  <si>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</si>
  <si>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</si>
  <si>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</si>
  <si>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</si>
  <si>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</si>
  <si>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</si>
  <si>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</si>
  <si>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</si>
  <si>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</si>
  <si>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</si>
  <si>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</si>
  <si>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</si>
  <si>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</si>
  <si>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</si>
  <si>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</si>
  <si>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</si>
  <si>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</si>
  <si>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</si>
  <si>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</si>
  <si>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</si>
  <si>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</si>
  <si>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</si>
  <si>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</si>
  <si>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</si>
  <si>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</si>
  <si>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</si>
  <si>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</si>
  <si>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</si>
  <si>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</si>
  <si>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</si>
  <si>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</si>
  <si>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</si>
  <si>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</si>
  <si>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</si>
  <si>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</si>
  <si>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</si>
  <si>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</si>
  <si>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</si>
  <si>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</si>
  <si>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</si>
  <si>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</si>
  <si>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</si>
  <si>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</si>
  <si>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</si>
  <si>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</si>
  <si>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</si>
  <si>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</si>
  <si>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</si>
  <si>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</si>
  <si>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</si>
  <si>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</si>
  <si>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</si>
  <si>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</si>
  <si>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</si>
  <si>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</si>
  <si>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</si>
  <si>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</si>
  <si>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</si>
  <si>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</si>
  <si>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</si>
  <si>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</si>
  <si>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</si>
  <si>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</si>
  <si>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</si>
  <si>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</si>
  <si>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</si>
  <si>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</si>
  <si>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</si>
  <si>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</si>
  <si>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</si>
  <si>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</si>
  <si>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</si>
  <si>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</si>
  <si>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</si>
  <si>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</si>
  <si>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</si>
  <si>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</si>
  <si>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</si>
  <si>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</si>
  <si>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</si>
  <si>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</si>
  <si>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</si>
  <si>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</si>
  <si>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</si>
  <si>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</si>
  <si>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</si>
  <si>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</si>
  <si>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</si>
  <si>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</si>
  <si>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</si>
  <si>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</si>
  <si>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</si>
  <si>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</si>
  <si>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</si>
  <si>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</si>
  <si>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</si>
  <si>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</si>
  <si>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</si>
  <si>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</si>
  <si>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</si>
  <si>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</si>
  <si>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</si>
  <si>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</si>
  <si>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</si>
  <si>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</si>
  <si>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</si>
  <si>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</si>
  <si>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</si>
  <si>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</si>
  <si>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</si>
  <si>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</si>
  <si>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</si>
  <si>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</si>
  <si>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</si>
  <si>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</si>
  <si>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</si>
  <si>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</si>
  <si>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</si>
  <si>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</si>
  <si>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</si>
  <si>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</si>
  <si>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</si>
  <si>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</si>
  <si>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</si>
  <si>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</si>
  <si>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</si>
  <si>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</si>
  <si>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</si>
  <si>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</si>
  <si>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</si>
  <si>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</si>
  <si>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</si>
  <si>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</si>
  <si>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</si>
  <si>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</si>
  <si>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</si>
  <si>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</si>
  <si>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</si>
  <si>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</si>
  <si>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</si>
  <si>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</si>
  <si>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</si>
  <si>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</si>
  <si>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</si>
  <si>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</si>
  <si>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</si>
  <si>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</si>
  <si>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</si>
  <si>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</si>
  <si>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</si>
  <si>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</si>
  <si>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</si>
  <si>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</si>
  <si>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</si>
  <si>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</si>
  <si>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</si>
  <si>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</si>
  <si>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</si>
  <si>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</si>
  <si>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</si>
  <si>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</si>
  <si>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</si>
  <si>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</si>
  <si>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</si>
  <si>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</si>
  <si>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</si>
  <si>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</si>
  <si>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</si>
  <si>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</si>
  <si>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</si>
  <si>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</si>
  <si>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</si>
  <si>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</si>
  <si>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</si>
  <si>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</si>
  <si>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</si>
  <si>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</si>
  <si>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</si>
  <si>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</si>
  <si>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</si>
  <si>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</si>
  <si>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</si>
  <si>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</si>
  <si>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</si>
  <si>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</si>
  <si>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</si>
  <si>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</si>
  <si>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</si>
  <si>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</si>
  <si>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</si>
  <si>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</si>
  <si>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</si>
  <si>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</si>
  <si>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</si>
  <si>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</si>
  <si>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</si>
  <si>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</si>
  <si>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</si>
  <si>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</si>
  <si>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</si>
  <si>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</si>
  <si>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</si>
  <si>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</si>
  <si>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</si>
  <si>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</si>
  <si>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</si>
  <si>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</si>
  <si>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</si>
  <si>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</si>
  <si>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</si>
  <si>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</si>
  <si>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</si>
  <si>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</si>
  <si>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</si>
  <si>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</si>
  <si>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</si>
  <si>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</si>
  <si>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</si>
  <si>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</si>
  <si>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</si>
  <si>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</si>
  <si>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</si>
  <si>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</si>
  <si>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</si>
  <si>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</si>
  <si>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</si>
  <si>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</si>
  <si>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</si>
  <si>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</si>
  <si>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</si>
  <si>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</si>
  <si>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</si>
  <si>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</si>
  <si>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</si>
  <si>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</si>
  <si>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</si>
  <si>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</si>
  <si>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</si>
  <si>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</si>
  <si>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</si>
  <si>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</si>
  <si>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</si>
  <si>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</si>
  <si>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</si>
  <si>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</si>
  <si>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</si>
  <si>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</si>
  <si>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</si>
  <si>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</si>
  <si>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</si>
  <si>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</si>
  <si>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</si>
  <si>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</si>
  <si>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</si>
  <si>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</si>
  <si>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</si>
  <si>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</si>
  <si>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</si>
  <si>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</si>
  <si>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</si>
  <si>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</si>
  <si>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</si>
  <si>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</si>
  <si>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</si>
  <si>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</si>
  <si>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</si>
  <si>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</si>
  <si>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</si>
  <si>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</si>
  <si>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</si>
  <si>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</si>
  <si>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</si>
  <si>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</si>
  <si>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</si>
  <si>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</si>
  <si>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</si>
  <si>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</si>
  <si>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</si>
  <si>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</si>
  <si>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</si>
  <si>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</si>
  <si>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</si>
  <si>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</si>
  <si>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</si>
  <si>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</si>
  <si>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</si>
  <si>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</si>
  <si>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</si>
  <si>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</si>
  <si>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</si>
  <si>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</si>
  <si>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</si>
  <si>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</si>
  <si>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</si>
  <si>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</si>
  <si>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</si>
  <si>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</si>
  <si>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</si>
  <si>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</si>
  <si>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</si>
  <si>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</si>
  <si>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</si>
  <si>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</si>
  <si>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</si>
  <si>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</si>
  <si>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</si>
  <si>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</si>
  <si>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</si>
  <si>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</si>
  <si>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</si>
  <si>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</si>
  <si>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</si>
  <si>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</si>
  <si>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</si>
  <si>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</si>
  <si>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</si>
  <si>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</si>
  <si>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</si>
  <si>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</si>
  <si>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</si>
  <si>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</si>
  <si>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</si>
  <si>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</si>
  <si>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</si>
  <si>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</si>
  <si>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</si>
  <si>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</si>
  <si>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</si>
  <si>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</si>
  <si>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</si>
  <si>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</si>
  <si>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</si>
  <si>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</si>
  <si>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</si>
  <si>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</si>
  <si>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</si>
  <si>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</si>
  <si>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</si>
  <si>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</si>
  <si>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</si>
  <si>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</si>
  <si>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</si>
  <si>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</si>
  <si>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</si>
  <si>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</si>
  <si>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</si>
  <si>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</si>
  <si>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</si>
  <si>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</si>
  <si>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</si>
  <si>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</si>
  <si>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</si>
  <si>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</si>
  <si>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</si>
  <si>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</si>
  <si>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</si>
  <si>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</si>
  <si>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</si>
  <si>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</si>
  <si>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</si>
  <si>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</si>
  <si>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</si>
  <si>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</si>
  <si>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</si>
  <si>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</si>
  <si>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</si>
  <si>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</si>
  <si>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</si>
  <si>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</si>
  <si>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</si>
  <si>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</si>
  <si>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</si>
  <si>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</si>
  <si>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</si>
  <si>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</si>
  <si>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</si>
  <si>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</si>
  <si>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</si>
  <si>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</si>
  <si>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</si>
  <si>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</si>
  <si>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</si>
  <si>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</si>
  <si>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</si>
  <si>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</si>
  <si>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</si>
  <si>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</si>
  <si>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</si>
  <si>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</si>
  <si>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</si>
  <si>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</si>
  <si>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</si>
  <si>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</si>
  <si>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</si>
  <si>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</si>
  <si>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</si>
  <si>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</si>
  <si>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</si>
  <si>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</si>
  <si>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</si>
  <si>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</si>
  <si>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</si>
  <si>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</si>
  <si>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</si>
  <si>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</si>
  <si>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</si>
  <si>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</si>
  <si>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</si>
  <si>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</si>
  <si>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</si>
  <si>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</si>
  <si>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</si>
  <si>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</si>
  <si>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</si>
  <si>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</si>
  <si>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</si>
  <si>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</si>
  <si>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</si>
  <si>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</si>
  <si>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</si>
  <si>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</si>
  <si>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</si>
  <si>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</si>
  <si>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</si>
  <si>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</si>
  <si>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</si>
  <si>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Casa de la Cultura de Uriangato
Estado de Actividades
Del 1 de Enero al 30 de Junio de 2025
(Cifras en Pesos)</t>
  </si>
  <si>
    <t>Casa de la Cultura de Uriangato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</si>
  <si>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</si>
  <si>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</si>
  <si>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</si>
  <si>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</si>
  <si>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</si>
  <si>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</si>
  <si>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</si>
  <si>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</si>
  <si>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 Uriangato
Estado de Variación en la Hacienda Pública
Del 1 de Enero 30 de Junio de 2025
(Cifras en Pesos)</t>
  </si>
  <si>
    <t>Casa de la Cultura de Uriangato
Estado de Cambios en la Situación Financiera
Del 1 de Enero al 30 de Junio de 2025
(Cifras en Pesos)</t>
  </si>
  <si>
    <t>Casa de la Cultura de Uriangato
Estado de Flujos de Efectivo
Del 1 de Enero al 30 de Junio de 2025
(Cifras en Pesos)</t>
  </si>
  <si>
    <t>Casa de la Cultura de Uriangato
Estado Analítico del Activo
Del 1 de Enero al 30 de Junio de 2025
(Cifras en Pesos)</t>
  </si>
  <si>
    <t>Casa de la Cultura de Uriangato
Estado Analítico de la Deuda y Otros Pasivos
Del 1 de Enero al 30 de Junio de 2025
(Cifras en Pesos)</t>
  </si>
  <si>
    <t>Casa de la Cultura de Uriangato</t>
  </si>
  <si>
    <t>Correspondiente del 1 de Enero al 30 de Junio de 2025</t>
  </si>
  <si>
    <t>Casa de la Cultura de Uriangato
Estado Analítico del Ejercicio del Presupuesto de Egresos
Clasificación por Objeto del Gasto (Capítulo y Concepto)
Del 1 de Enero al 30 de Junio de 2025
(Cifras en Pesos)</t>
  </si>
  <si>
    <t>Casa de la Cultura de Uriangato
Estado Analítico del Ejercicio del Presupuesto de Egresos
Clasificación Económica (por Tipo de Gasto)
Del 1 de Enero al 30 de Junio de 2025
(Cifras en Pesos)</t>
  </si>
  <si>
    <t>31120M41C010000 DEPARTAMENTO DE ADMINIST</t>
  </si>
  <si>
    <t>31120M41C020000 COORDINACION DE DIFUSION</t>
  </si>
  <si>
    <t>31120M41C030000 COORDINACION DE FORMACIO</t>
  </si>
  <si>
    <t>31120M41C040000 COORDINACION DE BIBLIOTE</t>
  </si>
  <si>
    <t>Casa de la Cultura de Uriangato
Estado Analítico del Ejercicio del Presupuesto de Egresos
Clasificación Administrativa
Del 1 de Enero al 30 de Junio de 2025
(Cifras en Pesos)</t>
  </si>
  <si>
    <t>Casa de la Cultura de Uriangato
Estado Analítico del Ejercicio del Presupuesto de Egresos
Clasificación Funcional (Finalidad y Función)
Del 1 de Enero al 30 de Junio de 2025
(Cifras en Pesos)</t>
  </si>
  <si>
    <t>Casa de la Cultura de Uriangato
Estado Analítico de Ingresos
Del 1 de Enero al 30 de Junio de 2025
(Cifras en Pesos)</t>
  </si>
  <si>
    <t>Casa de la Cultura de Uriangato
Gasto por Categoría Programática
Del 1 de Enero al 30 de Junio de 2025
(Cifras en Pesos)</t>
  </si>
  <si>
    <t>Casa de la Cultura de Uriangato
INDICADORES DE POSTURA FISCAL
Del 1 de Enero al 30 de Junio de 2025
(Cifras en Pesos)</t>
  </si>
  <si>
    <t>Casa de la Cultura de Uriangato
Endeudamiento Neto
Del 1 de Enero al 30 de Junio de 2025
(Cifras en Pesos)</t>
  </si>
  <si>
    <t>Casa de la Cultura de Uriangato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</si>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</sst>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46" workbookViewId="0">
      <selection activeCell="A2" sqref="A2:B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34144.36</v>
      </c>
      <c r="E32" s="62">
        <v>20832.87</v>
      </c>
    </row>
    <row r="33" spans="1:5" ht="11.25" customHeight="1" x14ac:dyDescent="0.2">
      <c r="A33" s="79"/>
      <c r="B33" s="33"/>
      <c r="C33" s="33"/>
      <c r="D33" s="33"/>
      <c r="E33" s="33"/>
    </row>
    <row r="34" spans="1:5" ht="11.25" customHeight="1" x14ac:dyDescent="0.2">
      <c r="A34" s="55" t="s">
        <v>271</v>
      </c>
      <c r="B34" s="33"/>
      <c r="C34" s="33"/>
      <c r="D34" s="62">
        <f>D32+D3</f>
        <v>34144.36</v>
      </c>
      <c r="E34" s="62">
        <f>E32+E3</f>
        <v>20832.87</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687</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210000</v>
      </c>
      <c r="C10" s="290">
        <v>10611</v>
      </c>
      <c r="D10" s="290">
        <f t="shared" si="0"/>
        <v>220611</v>
      </c>
      <c r="E10" s="290">
        <v>66169</v>
      </c>
      <c r="F10" s="290">
        <v>66169</v>
      </c>
      <c r="G10" s="290">
        <f t="shared" si="1"/>
        <v>-143831</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4492527.05</v>
      </c>
      <c r="C12" s="290">
        <v>882420.74</v>
      </c>
      <c r="D12" s="290">
        <f t="shared" si="0"/>
        <v>5374947.79</v>
      </c>
      <c r="E12" s="290">
        <v>2486500</v>
      </c>
      <c r="F12" s="290">
        <v>2486500</v>
      </c>
      <c r="G12" s="290">
        <f t="shared" si="1"/>
        <v>-2006027.0499999998</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4702527.05</v>
      </c>
      <c r="C15" s="294">
        <f>SUM(C4:C13)</f>
        <v>893031.74</v>
      </c>
      <c r="D15" s="294">
        <f t="shared" ref="D15:G15" si="2">SUM(D4:D13)</f>
        <v>5595558.79</v>
      </c>
      <c r="E15" s="294">
        <f t="shared" si="2"/>
        <v>2552669</v>
      </c>
      <c r="F15" s="295">
        <f t="shared" si="2"/>
        <v>2552669</v>
      </c>
      <c r="G15" s="296">
        <f t="shared" si="2"/>
        <v>-2149858.0499999998</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4702527.05</v>
      </c>
      <c r="C29" s="311">
        <f t="shared" si="6"/>
        <v>893031.74</v>
      </c>
      <c r="D29" s="311">
        <f t="shared" si="6"/>
        <v>5595558.79</v>
      </c>
      <c r="E29" s="311">
        <f t="shared" si="6"/>
        <v>2552669</v>
      </c>
      <c r="F29" s="311">
        <f t="shared" si="6"/>
        <v>2552669</v>
      </c>
      <c r="G29" s="311">
        <f t="shared" si="6"/>
        <v>-2149858.0499999998</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210000</v>
      </c>
      <c r="C32" s="308">
        <v>10611</v>
      </c>
      <c r="D32" s="308">
        <f>B32+C32</f>
        <v>220611</v>
      </c>
      <c r="E32" s="308">
        <v>66169</v>
      </c>
      <c r="F32" s="308">
        <v>66169</v>
      </c>
      <c r="G32" s="308">
        <f t="shared" si="7"/>
        <v>-143831</v>
      </c>
      <c r="H32" s="287" t="s">
        <v>413</v>
      </c>
    </row>
    <row r="33" spans="1:8" ht="21.6" customHeight="1" x14ac:dyDescent="0.25">
      <c r="A33" s="307" t="s">
        <v>113</v>
      </c>
      <c r="B33" s="308">
        <v>4492527.05</v>
      </c>
      <c r="C33" s="308">
        <v>882420.74</v>
      </c>
      <c r="D33" s="308">
        <f>B33+C33</f>
        <v>5374947.79</v>
      </c>
      <c r="E33" s="308">
        <v>2486500</v>
      </c>
      <c r="F33" s="308">
        <v>2486500</v>
      </c>
      <c r="G33" s="308">
        <f t="shared" si="7"/>
        <v>-2006027.0499999998</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4702527.05</v>
      </c>
      <c r="C38" s="294">
        <f t="shared" ref="C38:G38" si="9">SUM(C35+C29+C19)</f>
        <v>893031.74</v>
      </c>
      <c r="D38" s="294">
        <f t="shared" si="9"/>
        <v>5595558.79</v>
      </c>
      <c r="E38" s="294">
        <f t="shared" si="9"/>
        <v>2552669</v>
      </c>
      <c r="F38" s="294">
        <f t="shared" si="9"/>
        <v>2552669</v>
      </c>
      <c r="G38" s="296">
        <f t="shared" si="9"/>
        <v>-2149858.0499999998</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685</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3628318.29</v>
      </c>
      <c r="C5" s="326">
        <v>380125.14</v>
      </c>
      <c r="D5" s="326">
        <f>B5+C5</f>
        <v>4008443.43</v>
      </c>
      <c r="E5" s="326">
        <v>1792849.93</v>
      </c>
      <c r="F5" s="326">
        <v>1792849.93</v>
      </c>
      <c r="G5" s="326">
        <f>D5-E5</f>
        <v>2215593.5</v>
      </c>
    </row>
    <row r="6" spans="1:7" x14ac:dyDescent="0.25">
      <c r="A6" s="325" t="s">
        <v>682</v>
      </c>
      <c r="B6" s="326">
        <v>774208.76</v>
      </c>
      <c r="C6" s="326">
        <v>389906.6</v>
      </c>
      <c r="D6" s="326">
        <f t="shared" ref="D6:D12" si="0">B6+C6</f>
        <v>1164115.3599999999</v>
      </c>
      <c r="E6" s="326">
        <v>314223.89</v>
      </c>
      <c r="F6" s="326">
        <v>314223.89</v>
      </c>
      <c r="G6" s="326">
        <f t="shared" ref="G6:G12" si="1">D6-E6</f>
        <v>849891.46999999986</v>
      </c>
    </row>
    <row r="7" spans="1:7" x14ac:dyDescent="0.25">
      <c r="A7" s="325" t="s">
        <v>683</v>
      </c>
      <c r="B7" s="326">
        <v>250000</v>
      </c>
      <c r="C7" s="326">
        <v>123000</v>
      </c>
      <c r="D7" s="326">
        <f t="shared" si="0"/>
        <v>373000</v>
      </c>
      <c r="E7" s="326">
        <v>177788.94</v>
      </c>
      <c r="F7" s="326">
        <v>177788.94</v>
      </c>
      <c r="G7" s="326">
        <f t="shared" si="1"/>
        <v>195211.06</v>
      </c>
    </row>
    <row r="8" spans="1:7" x14ac:dyDescent="0.25">
      <c r="A8" s="325" t="s">
        <v>684</v>
      </c>
      <c r="B8" s="326">
        <v>50000</v>
      </c>
      <c r="C8" s="326">
        <v>0</v>
      </c>
      <c r="D8" s="326">
        <f t="shared" si="0"/>
        <v>50000</v>
      </c>
      <c r="E8" s="326">
        <v>17763.689999999999</v>
      </c>
      <c r="F8" s="326">
        <v>17763.689999999999</v>
      </c>
      <c r="G8" s="326">
        <f t="shared" si="1"/>
        <v>32236.31</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433</v>
      </c>
      <c r="B13" s="328">
        <f t="shared" ref="B13:C13" si="2">SUM(B5:B12)</f>
        <v>4702527.05</v>
      </c>
      <c r="C13" s="328">
        <f t="shared" si="2"/>
        <v>893031.74</v>
      </c>
      <c r="D13" s="328">
        <f>SUM(D5:D12)</f>
        <v>5595558.79</v>
      </c>
      <c r="E13" s="328">
        <f t="shared" ref="E13:G13" si="3">SUM(E5:E12)</f>
        <v>2302626.4499999997</v>
      </c>
      <c r="F13" s="328">
        <f t="shared" si="3"/>
        <v>2302626.4499999997</v>
      </c>
      <c r="G13" s="328">
        <f t="shared" si="3"/>
        <v>3292932.34</v>
      </c>
    </row>
    <row r="16" spans="1:7" ht="55.35" customHeight="1" x14ac:dyDescent="0.25">
      <c r="A16" s="484" t="s">
        <v>685</v>
      </c>
      <c r="B16" s="485"/>
      <c r="C16" s="485"/>
      <c r="D16" s="485"/>
      <c r="E16" s="485"/>
      <c r="F16" s="485"/>
      <c r="G16" s="486"/>
    </row>
    <row r="17" spans="1:7" x14ac:dyDescent="0.25">
      <c r="A17" s="316"/>
      <c r="B17" s="317"/>
      <c r="C17" s="318"/>
      <c r="D17" s="319" t="s">
        <v>430</v>
      </c>
      <c r="E17" s="318"/>
      <c r="F17" s="320"/>
      <c r="G17" s="482" t="s">
        <v>431</v>
      </c>
    </row>
    <row r="18" spans="1:7" ht="22.5" x14ac:dyDescent="0.25">
      <c r="A18" s="321" t="s">
        <v>100</v>
      </c>
      <c r="B18" s="322" t="s">
        <v>343</v>
      </c>
      <c r="C18" s="322" t="s">
        <v>432</v>
      </c>
      <c r="D18" s="322" t="s">
        <v>405</v>
      </c>
      <c r="E18" s="322" t="s">
        <v>336</v>
      </c>
      <c r="F18" s="322" t="s">
        <v>349</v>
      </c>
      <c r="G18" s="483"/>
    </row>
    <row r="19" spans="1:7" x14ac:dyDescent="0.25">
      <c r="A19" s="329"/>
      <c r="B19" s="330"/>
      <c r="C19" s="330"/>
      <c r="D19" s="330"/>
      <c r="E19" s="330"/>
      <c r="F19" s="330"/>
      <c r="G19" s="330"/>
    </row>
    <row r="20" spans="1:7" x14ac:dyDescent="0.25">
      <c r="A20" s="331" t="s">
        <v>434</v>
      </c>
      <c r="B20" s="326">
        <v>0</v>
      </c>
      <c r="C20" s="326">
        <v>0</v>
      </c>
      <c r="D20" s="326">
        <f>B20+C20</f>
        <v>0</v>
      </c>
      <c r="E20" s="326">
        <v>0</v>
      </c>
      <c r="F20" s="326">
        <v>0</v>
      </c>
      <c r="G20" s="326">
        <f>D20-E20</f>
        <v>0</v>
      </c>
    </row>
    <row r="21" spans="1:7" x14ac:dyDescent="0.25">
      <c r="A21" s="331" t="s">
        <v>435</v>
      </c>
      <c r="B21" s="326">
        <v>0</v>
      </c>
      <c r="C21" s="326">
        <v>0</v>
      </c>
      <c r="D21" s="326">
        <f t="shared" ref="D21:D23" si="4">B21+C21</f>
        <v>0</v>
      </c>
      <c r="E21" s="326">
        <v>0</v>
      </c>
      <c r="F21" s="326">
        <v>0</v>
      </c>
      <c r="G21" s="326">
        <f t="shared" ref="G21:G23" si="5">D21-E21</f>
        <v>0</v>
      </c>
    </row>
    <row r="22" spans="1:7" x14ac:dyDescent="0.25">
      <c r="A22" s="331" t="s">
        <v>436</v>
      </c>
      <c r="B22" s="326">
        <v>0</v>
      </c>
      <c r="C22" s="326">
        <v>0</v>
      </c>
      <c r="D22" s="326">
        <f t="shared" si="4"/>
        <v>0</v>
      </c>
      <c r="E22" s="326">
        <v>0</v>
      </c>
      <c r="F22" s="326">
        <v>0</v>
      </c>
      <c r="G22" s="326">
        <f t="shared" si="5"/>
        <v>0</v>
      </c>
    </row>
    <row r="23" spans="1:7" x14ac:dyDescent="0.25">
      <c r="A23" s="331" t="s">
        <v>437</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433</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685</v>
      </c>
      <c r="B28" s="488"/>
      <c r="C28" s="488"/>
      <c r="D28" s="488"/>
      <c r="E28" s="488"/>
      <c r="F28" s="488"/>
      <c r="G28" s="489"/>
    </row>
    <row r="29" spans="1:7" x14ac:dyDescent="0.25">
      <c r="A29" s="316"/>
      <c r="B29" s="317"/>
      <c r="C29" s="318"/>
      <c r="D29" s="319" t="s">
        <v>430</v>
      </c>
      <c r="E29" s="318"/>
      <c r="F29" s="320"/>
      <c r="G29" s="482" t="s">
        <v>431</v>
      </c>
    </row>
    <row r="30" spans="1:7" ht="22.5" x14ac:dyDescent="0.25">
      <c r="A30" s="321" t="s">
        <v>100</v>
      </c>
      <c r="B30" s="322" t="s">
        <v>343</v>
      </c>
      <c r="C30" s="322" t="s">
        <v>432</v>
      </c>
      <c r="D30" s="322" t="s">
        <v>405</v>
      </c>
      <c r="E30" s="322" t="s">
        <v>336</v>
      </c>
      <c r="F30" s="322" t="s">
        <v>349</v>
      </c>
      <c r="G30" s="483"/>
    </row>
    <row r="31" spans="1:7" x14ac:dyDescent="0.25">
      <c r="A31" s="329"/>
      <c r="B31" s="330"/>
      <c r="C31" s="330"/>
      <c r="D31" s="330"/>
      <c r="E31" s="330"/>
      <c r="F31" s="330"/>
      <c r="G31" s="330"/>
    </row>
    <row r="32" spans="1:7" ht="30" x14ac:dyDescent="0.25">
      <c r="A32" s="332" t="s">
        <v>438</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439</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440</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441</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442</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443</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444</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445</v>
      </c>
      <c r="B46" s="326">
        <v>4702527.05</v>
      </c>
      <c r="C46" s="326">
        <v>893031.74</v>
      </c>
      <c r="D46" s="326">
        <f t="shared" ref="D46" si="11">B46+C46</f>
        <v>5595558.79</v>
      </c>
      <c r="E46" s="326">
        <v>2302626.4500000002</v>
      </c>
      <c r="F46" s="326">
        <v>2302626.4500000002</v>
      </c>
      <c r="G46" s="326">
        <f t="shared" ref="G46" si="12">D46-E46</f>
        <v>3292932.34</v>
      </c>
    </row>
    <row r="47" spans="1:7" x14ac:dyDescent="0.25">
      <c r="A47" s="332"/>
      <c r="B47" s="326"/>
      <c r="C47" s="326"/>
      <c r="D47" s="326"/>
      <c r="E47" s="326"/>
      <c r="F47" s="326"/>
      <c r="G47" s="326"/>
    </row>
    <row r="48" spans="1:7" x14ac:dyDescent="0.25">
      <c r="A48" s="327" t="s">
        <v>433</v>
      </c>
      <c r="B48" s="328">
        <f t="shared" ref="B48:G48" si="13">SUM(B32:B46)</f>
        <v>4702527.05</v>
      </c>
      <c r="C48" s="328">
        <f t="shared" si="13"/>
        <v>893031.74</v>
      </c>
      <c r="D48" s="328">
        <f t="shared" si="13"/>
        <v>5595558.79</v>
      </c>
      <c r="E48" s="328">
        <f t="shared" si="13"/>
        <v>2302626.4500000002</v>
      </c>
      <c r="F48" s="328">
        <f t="shared" si="13"/>
        <v>2302626.4500000002</v>
      </c>
      <c r="G48" s="328">
        <f t="shared" si="13"/>
        <v>3292932.34</v>
      </c>
    </row>
    <row r="50" spans="1:1" x14ac:dyDescent="0.25">
      <c r="A50" s="315" t="s">
        <v>446</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4702527.05</v>
      </c>
      <c r="C5" s="326">
        <v>767031.74</v>
      </c>
      <c r="D5" s="326">
        <f>B5+C5</f>
        <v>5469558.79</v>
      </c>
      <c r="E5" s="326">
        <v>2269626.4500000002</v>
      </c>
      <c r="F5" s="326">
        <v>2269626.4500000002</v>
      </c>
      <c r="G5" s="326">
        <f>D5-E5</f>
        <v>3199932.34</v>
      </c>
    </row>
    <row r="6" spans="1:7" x14ac:dyDescent="0.25">
      <c r="A6" s="333"/>
      <c r="B6" s="326"/>
      <c r="C6" s="326"/>
      <c r="D6" s="326"/>
      <c r="E6" s="326"/>
      <c r="F6" s="326"/>
      <c r="G6" s="326"/>
    </row>
    <row r="7" spans="1:7" ht="9.9499999999999993" customHeight="1" x14ac:dyDescent="0.25">
      <c r="A7" s="333" t="s">
        <v>448</v>
      </c>
      <c r="B7" s="326">
        <v>0</v>
      </c>
      <c r="C7" s="326">
        <v>126000</v>
      </c>
      <c r="D7" s="326">
        <f>B7+C7</f>
        <v>126000</v>
      </c>
      <c r="E7" s="326">
        <v>33000</v>
      </c>
      <c r="F7" s="326">
        <v>33000</v>
      </c>
      <c r="G7" s="326">
        <f>D7-E7</f>
        <v>93000</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4702527.05</v>
      </c>
      <c r="C15" s="338">
        <f t="shared" si="0"/>
        <v>893031.74</v>
      </c>
      <c r="D15" s="338">
        <f t="shared" si="0"/>
        <v>5595558.79</v>
      </c>
      <c r="E15" s="338">
        <f t="shared" si="0"/>
        <v>2302626.4500000002</v>
      </c>
      <c r="F15" s="338">
        <f t="shared" si="0"/>
        <v>2302626.4500000002</v>
      </c>
      <c r="G15" s="338">
        <f t="shared" si="0"/>
        <v>3292932.34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3012318.2899999996</v>
      </c>
      <c r="C4" s="340">
        <f>SUM(C5:C11)</f>
        <v>296093.39999999997</v>
      </c>
      <c r="D4" s="340">
        <f>B4+C4</f>
        <v>3308411.6899999995</v>
      </c>
      <c r="E4" s="340">
        <f>SUM(E5:E11)</f>
        <v>1518993.1600000001</v>
      </c>
      <c r="F4" s="340">
        <f>SUM(F5:F11)</f>
        <v>1518993.1600000001</v>
      </c>
      <c r="G4" s="340">
        <f>D4-E4</f>
        <v>1789418.5299999993</v>
      </c>
    </row>
    <row r="5" spans="1:8" x14ac:dyDescent="0.25">
      <c r="A5" s="341" t="s">
        <v>450</v>
      </c>
      <c r="B5" s="326">
        <v>2445072.27</v>
      </c>
      <c r="C5" s="326">
        <v>130585.09</v>
      </c>
      <c r="D5" s="326">
        <f t="shared" ref="D5:D68" si="0">B5+C5</f>
        <v>2575657.36</v>
      </c>
      <c r="E5" s="326">
        <v>1271010.26</v>
      </c>
      <c r="F5" s="326">
        <v>1271010.26</v>
      </c>
      <c r="G5" s="326">
        <f t="shared" ref="G5:G68" si="1">D5-E5</f>
        <v>1304647.0999999999</v>
      </c>
      <c r="H5" s="342">
        <v>1100</v>
      </c>
    </row>
    <row r="6" spans="1:8" x14ac:dyDescent="0.25">
      <c r="A6" s="341" t="s">
        <v>451</v>
      </c>
      <c r="B6" s="326">
        <v>0</v>
      </c>
      <c r="C6" s="326">
        <v>0</v>
      </c>
      <c r="D6" s="326">
        <f t="shared" si="0"/>
        <v>0</v>
      </c>
      <c r="E6" s="326">
        <v>0</v>
      </c>
      <c r="F6" s="326">
        <v>0</v>
      </c>
      <c r="G6" s="326">
        <f t="shared" si="1"/>
        <v>0</v>
      </c>
      <c r="H6" s="342">
        <v>1200</v>
      </c>
    </row>
    <row r="7" spans="1:8" x14ac:dyDescent="0.25">
      <c r="A7" s="341" t="s">
        <v>452</v>
      </c>
      <c r="B7" s="326">
        <v>371640.24</v>
      </c>
      <c r="C7" s="326">
        <v>155061.5</v>
      </c>
      <c r="D7" s="326">
        <f t="shared" si="0"/>
        <v>526701.74</v>
      </c>
      <c r="E7" s="326">
        <v>145296.35999999999</v>
      </c>
      <c r="F7" s="326">
        <v>145296.35999999999</v>
      </c>
      <c r="G7" s="326">
        <f t="shared" si="1"/>
        <v>381405.38</v>
      </c>
      <c r="H7" s="342">
        <v>1300</v>
      </c>
    </row>
    <row r="8" spans="1:8" x14ac:dyDescent="0.25">
      <c r="A8" s="341" t="s">
        <v>453</v>
      </c>
      <c r="B8" s="326">
        <v>0</v>
      </c>
      <c r="C8" s="326">
        <v>0</v>
      </c>
      <c r="D8" s="326">
        <f t="shared" si="0"/>
        <v>0</v>
      </c>
      <c r="E8" s="326">
        <v>0</v>
      </c>
      <c r="F8" s="326">
        <v>0</v>
      </c>
      <c r="G8" s="326">
        <f t="shared" si="1"/>
        <v>0</v>
      </c>
      <c r="H8" s="342">
        <v>1400</v>
      </c>
    </row>
    <row r="9" spans="1:8" x14ac:dyDescent="0.25">
      <c r="A9" s="341" t="s">
        <v>454</v>
      </c>
      <c r="B9" s="326">
        <v>195605.78</v>
      </c>
      <c r="C9" s="326">
        <v>10446.81</v>
      </c>
      <c r="D9" s="326">
        <f t="shared" si="0"/>
        <v>206052.59</v>
      </c>
      <c r="E9" s="326">
        <v>102686.54</v>
      </c>
      <c r="F9" s="326">
        <v>102686.54</v>
      </c>
      <c r="G9" s="326">
        <f t="shared" si="1"/>
        <v>103366.05</v>
      </c>
      <c r="H9" s="342">
        <v>1500</v>
      </c>
    </row>
    <row r="10" spans="1:8" x14ac:dyDescent="0.25">
      <c r="A10" s="341" t="s">
        <v>455</v>
      </c>
      <c r="B10" s="326">
        <v>0</v>
      </c>
      <c r="C10" s="326">
        <v>0</v>
      </c>
      <c r="D10" s="326">
        <f t="shared" si="0"/>
        <v>0</v>
      </c>
      <c r="E10" s="326">
        <v>0</v>
      </c>
      <c r="F10" s="326">
        <v>0</v>
      </c>
      <c r="G10" s="326">
        <f t="shared" si="1"/>
        <v>0</v>
      </c>
      <c r="H10" s="342">
        <v>1600</v>
      </c>
    </row>
    <row r="11" spans="1:8" x14ac:dyDescent="0.25">
      <c r="A11" s="341" t="s">
        <v>456</v>
      </c>
      <c r="B11" s="326">
        <v>0</v>
      </c>
      <c r="C11" s="326">
        <v>0</v>
      </c>
      <c r="D11" s="326">
        <f t="shared" si="0"/>
        <v>0</v>
      </c>
      <c r="E11" s="326">
        <v>0</v>
      </c>
      <c r="F11" s="326">
        <v>0</v>
      </c>
      <c r="G11" s="326">
        <f t="shared" si="1"/>
        <v>0</v>
      </c>
      <c r="H11" s="342">
        <v>1700</v>
      </c>
    </row>
    <row r="12" spans="1:8" x14ac:dyDescent="0.25">
      <c r="A12" s="339" t="s">
        <v>124</v>
      </c>
      <c r="B12" s="343">
        <f>SUM(B13:B21)</f>
        <v>419000</v>
      </c>
      <c r="C12" s="343">
        <f>SUM(C13:C21)</f>
        <v>77031.739999999991</v>
      </c>
      <c r="D12" s="343">
        <f t="shared" si="0"/>
        <v>496031.74</v>
      </c>
      <c r="E12" s="343">
        <f>SUM(E13:E21)</f>
        <v>189690.52</v>
      </c>
      <c r="F12" s="343">
        <f>SUM(F13:F21)</f>
        <v>189690.52</v>
      </c>
      <c r="G12" s="343">
        <f t="shared" si="1"/>
        <v>306341.21999999997</v>
      </c>
      <c r="H12" s="344">
        <v>0</v>
      </c>
    </row>
    <row r="13" spans="1:8" x14ac:dyDescent="0.25">
      <c r="A13" s="341" t="s">
        <v>457</v>
      </c>
      <c r="B13" s="326">
        <v>130000</v>
      </c>
      <c r="C13" s="326">
        <v>0</v>
      </c>
      <c r="D13" s="326">
        <f t="shared" si="0"/>
        <v>130000</v>
      </c>
      <c r="E13" s="326">
        <v>62480.89</v>
      </c>
      <c r="F13" s="326">
        <v>62480.89</v>
      </c>
      <c r="G13" s="326">
        <f t="shared" si="1"/>
        <v>67519.11</v>
      </c>
      <c r="H13" s="342">
        <v>2100</v>
      </c>
    </row>
    <row r="14" spans="1:8" x14ac:dyDescent="0.25">
      <c r="A14" s="341" t="s">
        <v>458</v>
      </c>
      <c r="B14" s="326">
        <v>81000</v>
      </c>
      <c r="C14" s="326">
        <v>5000</v>
      </c>
      <c r="D14" s="326">
        <f t="shared" si="0"/>
        <v>86000</v>
      </c>
      <c r="E14" s="326">
        <v>21841.16</v>
      </c>
      <c r="F14" s="326">
        <v>21841.16</v>
      </c>
      <c r="G14" s="326">
        <f t="shared" si="1"/>
        <v>64158.84</v>
      </c>
      <c r="H14" s="342">
        <v>2200</v>
      </c>
    </row>
    <row r="15" spans="1:8" x14ac:dyDescent="0.25">
      <c r="A15" s="341" t="s">
        <v>459</v>
      </c>
      <c r="B15" s="326">
        <v>0</v>
      </c>
      <c r="C15" s="326">
        <v>0</v>
      </c>
      <c r="D15" s="326">
        <f t="shared" si="0"/>
        <v>0</v>
      </c>
      <c r="E15" s="326">
        <v>0</v>
      </c>
      <c r="F15" s="326">
        <v>0</v>
      </c>
      <c r="G15" s="326">
        <f t="shared" si="1"/>
        <v>0</v>
      </c>
      <c r="H15" s="342">
        <v>2300</v>
      </c>
    </row>
    <row r="16" spans="1:8" x14ac:dyDescent="0.25">
      <c r="A16" s="341" t="s">
        <v>460</v>
      </c>
      <c r="B16" s="326">
        <v>15000</v>
      </c>
      <c r="C16" s="326">
        <v>49031.74</v>
      </c>
      <c r="D16" s="326">
        <f t="shared" si="0"/>
        <v>64031.74</v>
      </c>
      <c r="E16" s="326">
        <v>53613.75</v>
      </c>
      <c r="F16" s="326">
        <v>53613.75</v>
      </c>
      <c r="G16" s="326">
        <f t="shared" si="1"/>
        <v>10417.989999999998</v>
      </c>
      <c r="H16" s="342">
        <v>2400</v>
      </c>
    </row>
    <row r="17" spans="1:8" x14ac:dyDescent="0.25">
      <c r="A17" s="341" t="s">
        <v>461</v>
      </c>
      <c r="B17" s="326">
        <v>43000</v>
      </c>
      <c r="C17" s="326">
        <v>-15000</v>
      </c>
      <c r="D17" s="326">
        <f t="shared" si="0"/>
        <v>28000</v>
      </c>
      <c r="E17" s="326">
        <v>1855</v>
      </c>
      <c r="F17" s="326">
        <v>1855</v>
      </c>
      <c r="G17" s="326">
        <f t="shared" si="1"/>
        <v>26145</v>
      </c>
      <c r="H17" s="342">
        <v>2500</v>
      </c>
    </row>
    <row r="18" spans="1:8" x14ac:dyDescent="0.25">
      <c r="A18" s="341" t="s">
        <v>462</v>
      </c>
      <c r="B18" s="326">
        <v>96000</v>
      </c>
      <c r="C18" s="326">
        <v>0</v>
      </c>
      <c r="D18" s="326">
        <f t="shared" si="0"/>
        <v>96000</v>
      </c>
      <c r="E18" s="326">
        <v>41112.69</v>
      </c>
      <c r="F18" s="326">
        <v>41112.69</v>
      </c>
      <c r="G18" s="326">
        <f t="shared" si="1"/>
        <v>54887.31</v>
      </c>
      <c r="H18" s="342">
        <v>2600</v>
      </c>
    </row>
    <row r="19" spans="1:8" x14ac:dyDescent="0.25">
      <c r="A19" s="341" t="s">
        <v>463</v>
      </c>
      <c r="B19" s="326">
        <v>42000</v>
      </c>
      <c r="C19" s="326">
        <v>-7000</v>
      </c>
      <c r="D19" s="326">
        <f t="shared" si="0"/>
        <v>35000</v>
      </c>
      <c r="E19" s="326">
        <v>0</v>
      </c>
      <c r="F19" s="326">
        <v>0</v>
      </c>
      <c r="G19" s="326">
        <f t="shared" si="1"/>
        <v>35000</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12000</v>
      </c>
      <c r="C21" s="326">
        <v>45000</v>
      </c>
      <c r="D21" s="326">
        <f t="shared" si="0"/>
        <v>57000</v>
      </c>
      <c r="E21" s="326">
        <v>8787.0300000000007</v>
      </c>
      <c r="F21" s="326">
        <v>8787.0300000000007</v>
      </c>
      <c r="G21" s="326">
        <f t="shared" si="1"/>
        <v>48212.97</v>
      </c>
      <c r="H21" s="342">
        <v>2900</v>
      </c>
    </row>
    <row r="22" spans="1:8" x14ac:dyDescent="0.25">
      <c r="A22" s="339" t="s">
        <v>125</v>
      </c>
      <c r="B22" s="343">
        <f>SUM(B23:B31)</f>
        <v>1238208.76</v>
      </c>
      <c r="C22" s="343">
        <f>SUM(C23:C31)</f>
        <v>406906.6</v>
      </c>
      <c r="D22" s="343">
        <f t="shared" si="0"/>
        <v>1645115.3599999999</v>
      </c>
      <c r="E22" s="343">
        <f>SUM(E23:E31)</f>
        <v>560942.77</v>
      </c>
      <c r="F22" s="343">
        <f>SUM(F23:F31)</f>
        <v>560942.77</v>
      </c>
      <c r="G22" s="343">
        <f t="shared" si="1"/>
        <v>1084172.5899999999</v>
      </c>
      <c r="H22" s="344">
        <v>0</v>
      </c>
    </row>
    <row r="23" spans="1:8" x14ac:dyDescent="0.25">
      <c r="A23" s="341" t="s">
        <v>466</v>
      </c>
      <c r="B23" s="326">
        <v>75000</v>
      </c>
      <c r="C23" s="326">
        <v>0</v>
      </c>
      <c r="D23" s="326">
        <f t="shared" si="0"/>
        <v>75000</v>
      </c>
      <c r="E23" s="326">
        <v>33409</v>
      </c>
      <c r="F23" s="326">
        <v>33409</v>
      </c>
      <c r="G23" s="326">
        <f t="shared" si="1"/>
        <v>41591</v>
      </c>
      <c r="H23" s="342">
        <v>3100</v>
      </c>
    </row>
    <row r="24" spans="1:8" x14ac:dyDescent="0.25">
      <c r="A24" s="341" t="s">
        <v>467</v>
      </c>
      <c r="B24" s="326">
        <v>166000</v>
      </c>
      <c r="C24" s="326">
        <v>164531.63</v>
      </c>
      <c r="D24" s="326">
        <f t="shared" si="0"/>
        <v>330531.63</v>
      </c>
      <c r="E24" s="326">
        <v>104177.56</v>
      </c>
      <c r="F24" s="326">
        <v>104177.56</v>
      </c>
      <c r="G24" s="326">
        <f t="shared" si="1"/>
        <v>226354.07</v>
      </c>
      <c r="H24" s="342">
        <v>3200</v>
      </c>
    </row>
    <row r="25" spans="1:8" x14ac:dyDescent="0.25">
      <c r="A25" s="341" t="s">
        <v>468</v>
      </c>
      <c r="B25" s="326">
        <v>503500</v>
      </c>
      <c r="C25" s="326">
        <v>357374.97</v>
      </c>
      <c r="D25" s="326">
        <f t="shared" si="0"/>
        <v>860874.97</v>
      </c>
      <c r="E25" s="326">
        <v>301508.94</v>
      </c>
      <c r="F25" s="326">
        <v>301508.94</v>
      </c>
      <c r="G25" s="326">
        <f t="shared" si="1"/>
        <v>559366.03</v>
      </c>
      <c r="H25" s="342">
        <v>3300</v>
      </c>
    </row>
    <row r="26" spans="1:8" x14ac:dyDescent="0.25">
      <c r="A26" s="341" t="s">
        <v>469</v>
      </c>
      <c r="B26" s="326">
        <v>45000</v>
      </c>
      <c r="C26" s="326">
        <v>0</v>
      </c>
      <c r="D26" s="326">
        <f t="shared" si="0"/>
        <v>45000</v>
      </c>
      <c r="E26" s="326">
        <v>6277.16</v>
      </c>
      <c r="F26" s="326">
        <v>6277.16</v>
      </c>
      <c r="G26" s="326">
        <f t="shared" si="1"/>
        <v>38722.839999999997</v>
      </c>
      <c r="H26" s="342">
        <v>3400</v>
      </c>
    </row>
    <row r="27" spans="1:8" x14ac:dyDescent="0.25">
      <c r="A27" s="341" t="s">
        <v>470</v>
      </c>
      <c r="B27" s="326">
        <v>25000</v>
      </c>
      <c r="C27" s="326">
        <v>20000</v>
      </c>
      <c r="D27" s="326">
        <f t="shared" si="0"/>
        <v>45000</v>
      </c>
      <c r="E27" s="326">
        <v>21333.95</v>
      </c>
      <c r="F27" s="326">
        <v>21333.95</v>
      </c>
      <c r="G27" s="326">
        <f t="shared" si="1"/>
        <v>23666.05</v>
      </c>
      <c r="H27" s="342">
        <v>3500</v>
      </c>
    </row>
    <row r="28" spans="1:8" x14ac:dyDescent="0.25">
      <c r="A28" s="341" t="s">
        <v>471</v>
      </c>
      <c r="B28" s="326">
        <v>49000</v>
      </c>
      <c r="C28" s="326">
        <v>-10000</v>
      </c>
      <c r="D28" s="326">
        <f t="shared" si="0"/>
        <v>39000</v>
      </c>
      <c r="E28" s="326">
        <v>21461.99</v>
      </c>
      <c r="F28" s="326">
        <v>21461.99</v>
      </c>
      <c r="G28" s="326">
        <f t="shared" si="1"/>
        <v>17538.009999999998</v>
      </c>
      <c r="H28" s="342">
        <v>3600</v>
      </c>
    </row>
    <row r="29" spans="1:8" x14ac:dyDescent="0.25">
      <c r="A29" s="341" t="s">
        <v>472</v>
      </c>
      <c r="B29" s="326">
        <v>136708.76</v>
      </c>
      <c r="C29" s="326">
        <v>-66000</v>
      </c>
      <c r="D29" s="326">
        <f t="shared" si="0"/>
        <v>70708.760000000009</v>
      </c>
      <c r="E29" s="326">
        <v>5084.87</v>
      </c>
      <c r="F29" s="326">
        <v>5084.87</v>
      </c>
      <c r="G29" s="326">
        <f t="shared" si="1"/>
        <v>65623.890000000014</v>
      </c>
      <c r="H29" s="342">
        <v>3700</v>
      </c>
    </row>
    <row r="30" spans="1:8" x14ac:dyDescent="0.25">
      <c r="A30" s="341" t="s">
        <v>473</v>
      </c>
      <c r="B30" s="326">
        <v>143000</v>
      </c>
      <c r="C30" s="326">
        <v>-59000</v>
      </c>
      <c r="D30" s="326">
        <f t="shared" si="0"/>
        <v>84000</v>
      </c>
      <c r="E30" s="326">
        <v>28478.28</v>
      </c>
      <c r="F30" s="326">
        <v>28478.28</v>
      </c>
      <c r="G30" s="326">
        <f t="shared" si="1"/>
        <v>55521.72</v>
      </c>
      <c r="H30" s="342">
        <v>3800</v>
      </c>
    </row>
    <row r="31" spans="1:8" x14ac:dyDescent="0.25">
      <c r="A31" s="341" t="s">
        <v>474</v>
      </c>
      <c r="B31" s="326">
        <v>95000</v>
      </c>
      <c r="C31" s="326">
        <v>0</v>
      </c>
      <c r="D31" s="326">
        <f t="shared" si="0"/>
        <v>95000</v>
      </c>
      <c r="E31" s="326">
        <v>39211.019999999997</v>
      </c>
      <c r="F31" s="326">
        <v>39211.019999999997</v>
      </c>
      <c r="G31" s="326">
        <f t="shared" si="1"/>
        <v>55788.98</v>
      </c>
      <c r="H31" s="342">
        <v>3900</v>
      </c>
    </row>
    <row r="32" spans="1:8" x14ac:dyDescent="0.25">
      <c r="A32" s="339" t="s">
        <v>126</v>
      </c>
      <c r="B32" s="343">
        <f>SUM(B33:B41)</f>
        <v>33000</v>
      </c>
      <c r="C32" s="343">
        <f>SUM(C33:C41)</f>
        <v>-13000</v>
      </c>
      <c r="D32" s="343">
        <f t="shared" si="0"/>
        <v>20000</v>
      </c>
      <c r="E32" s="343">
        <f>SUM(E33:E41)</f>
        <v>0</v>
      </c>
      <c r="F32" s="343">
        <f>SUM(F33:F41)</f>
        <v>0</v>
      </c>
      <c r="G32" s="343">
        <f t="shared" si="1"/>
        <v>20000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33000</v>
      </c>
      <c r="C36" s="326">
        <v>-13000</v>
      </c>
      <c r="D36" s="326">
        <f t="shared" si="0"/>
        <v>20000</v>
      </c>
      <c r="E36" s="326">
        <v>0</v>
      </c>
      <c r="F36" s="326">
        <v>0</v>
      </c>
      <c r="G36" s="326">
        <f t="shared" si="1"/>
        <v>20000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0</v>
      </c>
      <c r="C42" s="343">
        <f>SUM(C43:C51)</f>
        <v>126000</v>
      </c>
      <c r="D42" s="343">
        <f t="shared" si="0"/>
        <v>126000</v>
      </c>
      <c r="E42" s="343">
        <f>SUM(E43:E51)</f>
        <v>33000</v>
      </c>
      <c r="F42" s="343">
        <f>SUM(F43:F51)</f>
        <v>33000</v>
      </c>
      <c r="G42" s="343">
        <f t="shared" si="1"/>
        <v>93000</v>
      </c>
      <c r="H42" s="344">
        <v>0</v>
      </c>
    </row>
    <row r="43" spans="1:8" x14ac:dyDescent="0.25">
      <c r="A43" s="345" t="s">
        <v>477</v>
      </c>
      <c r="B43" s="326">
        <v>0</v>
      </c>
      <c r="C43" s="326">
        <v>53000</v>
      </c>
      <c r="D43" s="326">
        <f t="shared" si="0"/>
        <v>53000</v>
      </c>
      <c r="E43" s="326">
        <v>0</v>
      </c>
      <c r="F43" s="326">
        <v>0</v>
      </c>
      <c r="G43" s="326">
        <f t="shared" si="1"/>
        <v>53000</v>
      </c>
      <c r="H43" s="342">
        <v>5100</v>
      </c>
    </row>
    <row r="44" spans="1:8" x14ac:dyDescent="0.25">
      <c r="A44" s="341" t="s">
        <v>478</v>
      </c>
      <c r="B44" s="326">
        <v>0</v>
      </c>
      <c r="C44" s="326">
        <v>45000</v>
      </c>
      <c r="D44" s="326">
        <f t="shared" si="0"/>
        <v>45000</v>
      </c>
      <c r="E44" s="326">
        <v>25000</v>
      </c>
      <c r="F44" s="326">
        <v>25000</v>
      </c>
      <c r="G44" s="326">
        <f t="shared" si="1"/>
        <v>20000</v>
      </c>
      <c r="H44" s="342">
        <v>5200</v>
      </c>
    </row>
    <row r="45" spans="1:8" x14ac:dyDescent="0.25">
      <c r="A45" s="341" t="s">
        <v>479</v>
      </c>
      <c r="B45" s="326">
        <v>0</v>
      </c>
      <c r="C45" s="326">
        <v>0</v>
      </c>
      <c r="D45" s="326">
        <f t="shared" si="0"/>
        <v>0</v>
      </c>
      <c r="E45" s="326">
        <v>0</v>
      </c>
      <c r="F45" s="326">
        <v>0</v>
      </c>
      <c r="G45" s="326">
        <f t="shared" si="1"/>
        <v>0</v>
      </c>
      <c r="H45" s="342">
        <v>5300</v>
      </c>
    </row>
    <row r="46" spans="1:8" x14ac:dyDescent="0.25">
      <c r="A46" s="341" t="s">
        <v>480</v>
      </c>
      <c r="B46" s="326">
        <v>0</v>
      </c>
      <c r="C46" s="326">
        <v>0</v>
      </c>
      <c r="D46" s="326">
        <f t="shared" si="0"/>
        <v>0</v>
      </c>
      <c r="E46" s="326">
        <v>0</v>
      </c>
      <c r="F46" s="326">
        <v>0</v>
      </c>
      <c r="G46" s="326">
        <f t="shared" si="1"/>
        <v>0</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0</v>
      </c>
      <c r="C48" s="326">
        <v>0</v>
      </c>
      <c r="D48" s="326">
        <f t="shared" si="0"/>
        <v>0</v>
      </c>
      <c r="E48" s="326">
        <v>0</v>
      </c>
      <c r="F48" s="326">
        <v>0</v>
      </c>
      <c r="G48" s="326">
        <f t="shared" si="1"/>
        <v>0</v>
      </c>
      <c r="H48" s="342">
        <v>5600</v>
      </c>
    </row>
    <row r="49" spans="1:8" x14ac:dyDescent="0.25">
      <c r="A49" s="341" t="s">
        <v>483</v>
      </c>
      <c r="B49" s="326">
        <v>0</v>
      </c>
      <c r="C49" s="326">
        <v>28000</v>
      </c>
      <c r="D49" s="326">
        <f t="shared" si="0"/>
        <v>28000</v>
      </c>
      <c r="E49" s="326">
        <v>8000</v>
      </c>
      <c r="F49" s="326">
        <v>8000</v>
      </c>
      <c r="G49" s="326">
        <f t="shared" si="1"/>
        <v>20000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485</v>
      </c>
      <c r="B53" s="326">
        <v>0</v>
      </c>
      <c r="C53" s="326">
        <v>0</v>
      </c>
      <c r="D53" s="326">
        <f t="shared" si="0"/>
        <v>0</v>
      </c>
      <c r="E53" s="326">
        <v>0</v>
      </c>
      <c r="F53" s="326">
        <v>0</v>
      </c>
      <c r="G53" s="326">
        <f t="shared" si="1"/>
        <v>0</v>
      </c>
      <c r="H53" s="342">
        <v>6100</v>
      </c>
    </row>
    <row r="54" spans="1:8" x14ac:dyDescent="0.25">
      <c r="A54" s="341" t="s">
        <v>486</v>
      </c>
      <c r="B54" s="326">
        <v>0</v>
      </c>
      <c r="C54" s="326">
        <v>0</v>
      </c>
      <c r="D54" s="326">
        <f t="shared" si="0"/>
        <v>0</v>
      </c>
      <c r="E54" s="326">
        <v>0</v>
      </c>
      <c r="F54" s="326">
        <v>0</v>
      </c>
      <c r="G54" s="326">
        <f t="shared" si="1"/>
        <v>0</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0</v>
      </c>
      <c r="C56" s="343">
        <f>SUM(C57:C63)</f>
        <v>0</v>
      </c>
      <c r="D56" s="343">
        <f t="shared" si="0"/>
        <v>0</v>
      </c>
      <c r="E56" s="343">
        <f>SUM(E57:E63)</f>
        <v>0</v>
      </c>
      <c r="F56" s="343">
        <f>SUM(F57:F63)</f>
        <v>0</v>
      </c>
      <c r="G56" s="343">
        <f t="shared" si="1"/>
        <v>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4702527.05</v>
      </c>
      <c r="C76" s="338">
        <f t="shared" si="4"/>
        <v>893031.74</v>
      </c>
      <c r="D76" s="338">
        <f t="shared" si="4"/>
        <v>5595558.7899999991</v>
      </c>
      <c r="E76" s="338">
        <f t="shared" si="4"/>
        <v>2302626.4500000002</v>
      </c>
      <c r="F76" s="338">
        <f t="shared" si="4"/>
        <v>2302626.4500000002</v>
      </c>
      <c r="G76" s="338">
        <f t="shared" si="4"/>
        <v>3292932.3399999989</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686</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3628318.29</v>
      </c>
      <c r="C5" s="343">
        <f t="shared" si="0"/>
        <v>380125.14</v>
      </c>
      <c r="D5" s="343">
        <f t="shared" si="0"/>
        <v>4008443.43</v>
      </c>
      <c r="E5" s="343">
        <f t="shared" si="0"/>
        <v>1792849.93</v>
      </c>
      <c r="F5" s="343">
        <f t="shared" si="0"/>
        <v>1792849.93</v>
      </c>
      <c r="G5" s="343">
        <f t="shared" si="0"/>
        <v>2215593.5</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3628318.29</v>
      </c>
      <c r="C10" s="326">
        <v>380125.14</v>
      </c>
      <c r="D10" s="326">
        <f t="shared" si="1"/>
        <v>4008443.43</v>
      </c>
      <c r="E10" s="326">
        <v>1792849.93</v>
      </c>
      <c r="F10" s="326">
        <v>1792849.93</v>
      </c>
      <c r="G10" s="326">
        <f t="shared" si="2"/>
        <v>2215593.5</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1074208.76</v>
      </c>
      <c r="C15" s="343">
        <f t="shared" si="3"/>
        <v>512906.6</v>
      </c>
      <c r="D15" s="343">
        <f t="shared" si="3"/>
        <v>1587115.3599999999</v>
      </c>
      <c r="E15" s="343">
        <f t="shared" si="3"/>
        <v>509776.52</v>
      </c>
      <c r="F15" s="343">
        <f t="shared" si="3"/>
        <v>509776.52</v>
      </c>
      <c r="G15" s="343">
        <f t="shared" si="3"/>
        <v>1077338.8399999999</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0</v>
      </c>
      <c r="C17" s="326">
        <v>0</v>
      </c>
      <c r="D17" s="326">
        <f t="shared" ref="D17:D22" si="5">B17+C17</f>
        <v>0</v>
      </c>
      <c r="E17" s="326">
        <v>0</v>
      </c>
      <c r="F17" s="326">
        <v>0</v>
      </c>
      <c r="G17" s="326">
        <f t="shared" si="4"/>
        <v>0</v>
      </c>
    </row>
    <row r="18" spans="1:7" ht="9.9499999999999993" customHeight="1" x14ac:dyDescent="0.25">
      <c r="A18" s="348" t="s">
        <v>510</v>
      </c>
      <c r="B18" s="326">
        <v>0</v>
      </c>
      <c r="C18" s="326">
        <v>0</v>
      </c>
      <c r="D18" s="326">
        <f t="shared" si="5"/>
        <v>0</v>
      </c>
      <c r="E18" s="326">
        <v>0</v>
      </c>
      <c r="F18" s="326">
        <v>0</v>
      </c>
      <c r="G18" s="326">
        <f t="shared" si="4"/>
        <v>0</v>
      </c>
    </row>
    <row r="19" spans="1:7" x14ac:dyDescent="0.25">
      <c r="A19" s="348" t="s">
        <v>511</v>
      </c>
      <c r="B19" s="326">
        <v>1074208.76</v>
      </c>
      <c r="C19" s="326">
        <v>512906.6</v>
      </c>
      <c r="D19" s="326">
        <f t="shared" si="5"/>
        <v>1587115.3599999999</v>
      </c>
      <c r="E19" s="326">
        <v>509776.52</v>
      </c>
      <c r="F19" s="326">
        <v>509776.52</v>
      </c>
      <c r="G19" s="326">
        <f t="shared" si="4"/>
        <v>1077338.8399999999</v>
      </c>
    </row>
    <row r="20" spans="1:7" x14ac:dyDescent="0.25">
      <c r="A20" s="348" t="s">
        <v>512</v>
      </c>
      <c r="B20" s="326">
        <v>0</v>
      </c>
      <c r="C20" s="326">
        <v>0</v>
      </c>
      <c r="D20" s="326">
        <f t="shared" si="5"/>
        <v>0</v>
      </c>
      <c r="E20" s="326">
        <v>0</v>
      </c>
      <c r="F20" s="326">
        <v>0</v>
      </c>
      <c r="G20" s="326">
        <f t="shared" si="4"/>
        <v>0</v>
      </c>
    </row>
    <row r="21" spans="1:7" x14ac:dyDescent="0.25">
      <c r="A21" s="348" t="s">
        <v>513</v>
      </c>
      <c r="B21" s="326">
        <v>0</v>
      </c>
      <c r="C21" s="326">
        <v>0</v>
      </c>
      <c r="D21" s="326">
        <f t="shared" si="5"/>
        <v>0</v>
      </c>
      <c r="E21" s="326">
        <v>0</v>
      </c>
      <c r="F21" s="326">
        <v>0</v>
      </c>
      <c r="G21" s="326">
        <f t="shared" si="4"/>
        <v>0</v>
      </c>
    </row>
    <row r="22" spans="1:7" x14ac:dyDescent="0.25">
      <c r="A22" s="348" t="s">
        <v>514</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4702527.05</v>
      </c>
      <c r="C41" s="328">
        <f t="shared" si="12"/>
        <v>893031.74</v>
      </c>
      <c r="D41" s="328">
        <f t="shared" si="12"/>
        <v>5595558.79</v>
      </c>
      <c r="E41" s="328">
        <f t="shared" si="12"/>
        <v>2302626.4500000002</v>
      </c>
      <c r="F41" s="328">
        <f t="shared" si="12"/>
        <v>2302626.4500000002</v>
      </c>
      <c r="G41" s="328">
        <f t="shared" si="12"/>
        <v>3292932.34</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690</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691</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688</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4702527.05</v>
      </c>
      <c r="C5" s="382">
        <f t="shared" ref="C5:G5" si="0">+C6+C9+C18+C22+C25+C30</f>
        <v>893031.74</v>
      </c>
      <c r="D5" s="382">
        <f t="shared" si="0"/>
        <v>5595558.79</v>
      </c>
      <c r="E5" s="382">
        <f t="shared" si="0"/>
        <v>2302626.4500000002</v>
      </c>
      <c r="F5" s="382">
        <f t="shared" si="0"/>
        <v>2302626.4500000002</v>
      </c>
      <c r="G5" s="382">
        <f t="shared" si="0"/>
        <v>3292932.34</v>
      </c>
    </row>
    <row r="6" spans="1:8" ht="20.100000000000001"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544</v>
      </c>
      <c r="B7" s="326">
        <v>0</v>
      </c>
      <c r="C7" s="326">
        <v>0</v>
      </c>
      <c r="D7" s="326">
        <f>B7+C7</f>
        <v>0</v>
      </c>
      <c r="E7" s="326">
        <v>0</v>
      </c>
      <c r="F7" s="326">
        <v>0</v>
      </c>
      <c r="G7" s="326">
        <f>D7-E7</f>
        <v>0</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1074208.76</v>
      </c>
      <c r="C9" s="343">
        <f>SUM(C10:C17)</f>
        <v>512906.6</v>
      </c>
      <c r="D9" s="343">
        <f t="shared" ref="D9:G9" si="2">SUM(D10:D17)</f>
        <v>1587115.3599999999</v>
      </c>
      <c r="E9" s="343">
        <f t="shared" si="2"/>
        <v>509776.52</v>
      </c>
      <c r="F9" s="343">
        <f t="shared" si="2"/>
        <v>509776.52</v>
      </c>
      <c r="G9" s="343">
        <f t="shared" si="2"/>
        <v>1077338.8399999999</v>
      </c>
      <c r="H9" s="384">
        <v>0</v>
      </c>
    </row>
    <row r="10" spans="1:8" ht="9.9499999999999993" customHeight="1" x14ac:dyDescent="0.2">
      <c r="A10" s="385" t="s">
        <v>549</v>
      </c>
      <c r="B10" s="326">
        <v>1074208.76</v>
      </c>
      <c r="C10" s="326">
        <v>512906.6</v>
      </c>
      <c r="D10" s="326">
        <f t="shared" ref="D10:D17" si="3">B10+C10</f>
        <v>1587115.3599999999</v>
      </c>
      <c r="E10" s="326">
        <v>509776.52</v>
      </c>
      <c r="F10" s="326">
        <v>509776.52</v>
      </c>
      <c r="G10" s="326">
        <f t="shared" ref="G10:G17" si="4">D10-E10</f>
        <v>1077338.8399999999</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0</v>
      </c>
      <c r="C14" s="326">
        <v>0</v>
      </c>
      <c r="D14" s="326">
        <f t="shared" si="3"/>
        <v>0</v>
      </c>
      <c r="E14" s="326">
        <v>0</v>
      </c>
      <c r="F14" s="326">
        <v>0</v>
      </c>
      <c r="G14" s="326">
        <f t="shared" si="4"/>
        <v>0</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3628318.29</v>
      </c>
      <c r="C18" s="343">
        <f>SUM(C19:C21)</f>
        <v>380125.14</v>
      </c>
      <c r="D18" s="343">
        <f t="shared" ref="D18:G18" si="5">SUM(D19:D21)</f>
        <v>4008443.43</v>
      </c>
      <c r="E18" s="343">
        <f t="shared" si="5"/>
        <v>1792849.93</v>
      </c>
      <c r="F18" s="343">
        <f t="shared" si="5"/>
        <v>1792849.93</v>
      </c>
      <c r="G18" s="343">
        <f t="shared" si="5"/>
        <v>2215593.5</v>
      </c>
      <c r="H18" s="384">
        <v>0</v>
      </c>
    </row>
    <row r="19" spans="1:8" ht="9.9499999999999993" customHeight="1" x14ac:dyDescent="0.2">
      <c r="A19" s="385" t="s">
        <v>566</v>
      </c>
      <c r="B19" s="326">
        <v>3628318.29</v>
      </c>
      <c r="C19" s="326">
        <v>380125.14</v>
      </c>
      <c r="D19" s="326">
        <f t="shared" ref="D19:D21" si="6">B19+C19</f>
        <v>4008443.43</v>
      </c>
      <c r="E19" s="326">
        <v>1792849.93</v>
      </c>
      <c r="F19" s="326">
        <v>1792849.93</v>
      </c>
      <c r="G19" s="326">
        <f t="shared" ref="G19:G21" si="7">D19-E19</f>
        <v>2215593.5</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4702527.05</v>
      </c>
      <c r="C36" s="328">
        <f t="shared" ref="C36:G36" si="17">+C5+C32+C33+C34</f>
        <v>893031.74</v>
      </c>
      <c r="D36" s="328">
        <f t="shared" si="17"/>
        <v>5595558.79</v>
      </c>
      <c r="E36" s="328">
        <f t="shared" si="17"/>
        <v>2302626.4500000002</v>
      </c>
      <c r="F36" s="328">
        <f t="shared" si="17"/>
        <v>2302626.4500000002</v>
      </c>
      <c r="G36" s="328">
        <f t="shared" si="17"/>
        <v>3292932.34</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692</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4702527.05</v>
      </c>
      <c r="D41" s="399"/>
      <c r="E41" s="399"/>
      <c r="F41" s="399"/>
    </row>
    <row r="42" spans="1:6" x14ac:dyDescent="0.2">
      <c r="A42" s="391">
        <v>8120</v>
      </c>
      <c r="B42" s="402" t="s">
        <v>632</v>
      </c>
      <c r="C42" s="403">
        <v>-3042889.79</v>
      </c>
      <c r="D42" s="399"/>
      <c r="E42" s="399"/>
      <c r="F42" s="399"/>
    </row>
    <row r="43" spans="1:6" x14ac:dyDescent="0.2">
      <c r="A43" s="391">
        <v>8130</v>
      </c>
      <c r="B43" s="402" t="s">
        <v>633</v>
      </c>
      <c r="C43" s="403">
        <v>893031.74</v>
      </c>
      <c r="D43" s="399"/>
      <c r="E43" s="399"/>
      <c r="F43" s="399"/>
    </row>
    <row r="44" spans="1:6" x14ac:dyDescent="0.2">
      <c r="A44" s="391">
        <v>8140</v>
      </c>
      <c r="B44" s="402" t="s">
        <v>634</v>
      </c>
      <c r="C44" s="403">
        <v>0</v>
      </c>
      <c r="D44" s="399"/>
      <c r="E44" s="399"/>
      <c r="F44" s="399"/>
    </row>
    <row r="45" spans="1:6" x14ac:dyDescent="0.2">
      <c r="A45" s="391">
        <v>8150</v>
      </c>
      <c r="B45" s="402" t="s">
        <v>635</v>
      </c>
      <c r="C45" s="403">
        <v>-2552669</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-4702527.05</v>
      </c>
    </row>
    <row r="51" spans="1:3" x14ac:dyDescent="0.2">
      <c r="A51" s="391">
        <v>8220</v>
      </c>
      <c r="B51" s="402" t="s">
        <v>638</v>
      </c>
      <c r="C51" s="409">
        <v>778841.64</v>
      </c>
    </row>
    <row r="52" spans="1:3" x14ac:dyDescent="0.2">
      <c r="A52" s="391">
        <v>8230</v>
      </c>
      <c r="B52" s="402" t="s">
        <v>639</v>
      </c>
      <c r="C52" s="409">
        <v>-893031.74</v>
      </c>
    </row>
    <row r="53" spans="1:3" x14ac:dyDescent="0.2">
      <c r="A53" s="391">
        <v>8240</v>
      </c>
      <c r="B53" s="402" t="s">
        <v>640</v>
      </c>
      <c r="C53" s="409">
        <v>2514090.7000000002</v>
      </c>
    </row>
    <row r="54" spans="1:3" x14ac:dyDescent="0.2">
      <c r="A54" s="391">
        <v>8250</v>
      </c>
      <c r="B54" s="402" t="s">
        <v>641</v>
      </c>
      <c r="C54" s="409">
        <v>0</v>
      </c>
    </row>
    <row r="55" spans="1:3" x14ac:dyDescent="0.2">
      <c r="A55" s="391">
        <v>8260</v>
      </c>
      <c r="B55" s="402" t="s">
        <v>642</v>
      </c>
      <c r="C55" s="409">
        <v>0</v>
      </c>
    </row>
    <row r="56" spans="1:3" x14ac:dyDescent="0.2">
      <c r="A56" s="391">
        <v>8270</v>
      </c>
      <c r="B56" s="402" t="s">
        <v>643</v>
      </c>
      <c r="C56" s="409">
        <v>2302626.4500000002</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283042.54999999981</v>
      </c>
      <c r="E7" s="251" t="s">
        <v>274</v>
      </c>
      <c r="F7" s="101">
        <f>IF(ESF!E36&gt;0,ESF!E36,ESF!E36*-1)</f>
        <v>283042.55</v>
      </c>
      <c r="G7" s="102">
        <f>ROUND(D7-F7,2)</f>
        <v>0</v>
      </c>
      <c r="H7" s="103" t="s">
        <v>284</v>
      </c>
      <c r="I7" s="104">
        <f>IF(ACT!C68&gt;0,ACT!C68,ACT!C68*-1)</f>
        <v>346030.16999999993</v>
      </c>
      <c r="J7" s="105" t="s">
        <v>274</v>
      </c>
      <c r="K7" s="218">
        <f>IF(ESF!F36&gt;0,ESF!F36,ESF!F36*-1)</f>
        <v>346030.17</v>
      </c>
      <c r="L7" s="106">
        <f>ROUND(I7-K7,2)</f>
        <v>0</v>
      </c>
      <c r="M7" s="190" t="s">
        <v>205</v>
      </c>
    </row>
    <row r="8" spans="1:13" ht="12" thickBot="1" x14ac:dyDescent="0.25">
      <c r="A8" s="89" t="s">
        <v>12</v>
      </c>
      <c r="B8" s="226" t="s">
        <v>205</v>
      </c>
      <c r="C8" s="107" t="s">
        <v>285</v>
      </c>
      <c r="D8" s="101">
        <f>IF(ACT!B68&gt;0,ACT!B68,ACT!B68*-1)</f>
        <v>283042.54999999981</v>
      </c>
      <c r="E8" s="109" t="s">
        <v>288</v>
      </c>
      <c r="F8" s="108">
        <f>IF(VHP!D28&gt;0,VHP!D28,VHP!D28*-1)</f>
        <v>283042.55</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346030.16999999993</v>
      </c>
      <c r="J9" s="115" t="s">
        <v>288</v>
      </c>
      <c r="K9" s="114">
        <f>IF(VHP!D10&gt;0,VHP!D10,VHP!D10*-1)</f>
        <v>346030.17</v>
      </c>
      <c r="L9" s="116">
        <f>ROUND(I9-K9,2)</f>
        <v>0</v>
      </c>
      <c r="M9" s="191" t="s">
        <v>205</v>
      </c>
    </row>
    <row r="10" spans="1:13" ht="12" thickBot="1" x14ac:dyDescent="0.25">
      <c r="A10" s="89" t="s">
        <v>17</v>
      </c>
      <c r="B10" s="226" t="s">
        <v>205</v>
      </c>
      <c r="C10" s="117"/>
      <c r="D10" s="118"/>
      <c r="E10" s="119" t="s">
        <v>288</v>
      </c>
      <c r="F10" s="108">
        <f>IF(VHP!D29&gt;0,VHP!D29,VHP!D29*-1)</f>
        <v>346030.17</v>
      </c>
      <c r="G10" s="121"/>
      <c r="H10" s="113" t="s">
        <v>284</v>
      </c>
      <c r="I10" s="104">
        <f>IF(ACT!C68&gt;0,ACT!C68,ACT!C68*-1)</f>
        <v>346030.16999999993</v>
      </c>
      <c r="J10" s="122"/>
      <c r="K10" s="123"/>
      <c r="L10" s="116">
        <f>ROUND(F10-I10,2)</f>
        <v>0</v>
      </c>
      <c r="M10" s="191" t="s">
        <v>205</v>
      </c>
    </row>
    <row r="11" spans="1:13" ht="12" thickBot="1" x14ac:dyDescent="0.25">
      <c r="A11" s="89" t="s">
        <v>19</v>
      </c>
      <c r="B11" s="226" t="s">
        <v>205</v>
      </c>
      <c r="C11" s="113" t="s">
        <v>274</v>
      </c>
      <c r="D11" s="124">
        <f>IF(ESF!E36&gt;0,ESF!E36,ESF!E36*-1)</f>
        <v>283042.55</v>
      </c>
      <c r="E11" s="125" t="s">
        <v>284</v>
      </c>
      <c r="F11" s="126">
        <f>IF(ACT!B68&gt;0,ACT!B68,ACT!B68*-1)</f>
        <v>283042.54999999981</v>
      </c>
      <c r="G11" s="127">
        <f t="shared" ref="G11:G28" si="0">ROUND(D11-F11,2)</f>
        <v>0</v>
      </c>
      <c r="H11" s="113" t="s">
        <v>274</v>
      </c>
      <c r="I11" s="128">
        <f>IF(ESF!F36&gt;0,ESF!F36,ESF!F36*-1)</f>
        <v>346030.17</v>
      </c>
      <c r="J11" s="115" t="s">
        <v>284</v>
      </c>
      <c r="K11" s="114">
        <f>IF(ACT!C68&gt;0,ACT!C68,ACT!C68*-1)</f>
        <v>346030.16999999993</v>
      </c>
      <c r="L11" s="116">
        <f>ROUND(I11-K11,2)</f>
        <v>0</v>
      </c>
      <c r="M11" s="191" t="s">
        <v>205</v>
      </c>
    </row>
    <row r="12" spans="1:13" x14ac:dyDescent="0.2">
      <c r="A12" s="90" t="s">
        <v>22</v>
      </c>
      <c r="B12" s="228" t="s">
        <v>162</v>
      </c>
      <c r="C12" s="129" t="s">
        <v>274</v>
      </c>
      <c r="D12" s="130">
        <f>IF(ESF!B5&gt;0,ESF!B5,ESF!B5*-1)</f>
        <v>322709.40000000002</v>
      </c>
      <c r="E12" s="131" t="s">
        <v>275</v>
      </c>
      <c r="F12" s="253">
        <f>IF(EAA!E5&gt;0,EAA!E5,EAA!E5*-1)</f>
        <v>322709.39999999991</v>
      </c>
      <c r="G12" s="133">
        <f t="shared" si="0"/>
        <v>0</v>
      </c>
      <c r="H12" s="134" t="s">
        <v>274</v>
      </c>
      <c r="I12" s="254">
        <f>IF(ESF!C5&gt;0,ESF!C5,ESF!C5*-1)</f>
        <v>85978.34</v>
      </c>
      <c r="J12" s="135" t="s">
        <v>275</v>
      </c>
      <c r="K12" s="178">
        <f>IF(EAA!B5&gt;0,EAA!B5,EAA!B5*-1)</f>
        <v>85978.34</v>
      </c>
      <c r="L12" s="137">
        <f t="shared" ref="L12:L43" si="1">ROUND(I12-K12,2)</f>
        <v>0</v>
      </c>
      <c r="M12" s="192" t="s">
        <v>162</v>
      </c>
    </row>
    <row r="13" spans="1:13" x14ac:dyDescent="0.2">
      <c r="A13" s="91"/>
      <c r="B13" s="219" t="s">
        <v>164</v>
      </c>
      <c r="C13" s="138" t="s">
        <v>274</v>
      </c>
      <c r="D13" s="139">
        <f>IF(ESF!B6&gt;0,ESF!B6,ESF!B6*-1)</f>
        <v>13918.44</v>
      </c>
      <c r="E13" s="140" t="s">
        <v>275</v>
      </c>
      <c r="F13" s="120">
        <f>IF(EAA!E6&gt;0,EAA!E6,EAA!E6*-1)</f>
        <v>13918.439999999944</v>
      </c>
      <c r="G13" s="141">
        <f t="shared" si="0"/>
        <v>0</v>
      </c>
      <c r="H13" s="142" t="s">
        <v>274</v>
      </c>
      <c r="I13" s="143">
        <f>IF(ESF!C6&gt;0,ESF!C6,ESF!C6*-1)</f>
        <v>13918.44</v>
      </c>
      <c r="J13" s="119" t="s">
        <v>275</v>
      </c>
      <c r="K13" s="143">
        <f>IF(EAA!B6&gt;0,EAA!B6,EAA!B6*-1)</f>
        <v>13918.44</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0</v>
      </c>
      <c r="E21" s="140" t="s">
        <v>275</v>
      </c>
      <c r="F21" s="120">
        <f>IF(EAA!E15&gt;0,EAA!E15,EAA!E15*-1)</f>
        <v>0</v>
      </c>
      <c r="G21" s="141">
        <f t="shared" si="0"/>
        <v>0</v>
      </c>
      <c r="H21" s="142" t="s">
        <v>274</v>
      </c>
      <c r="I21" s="143">
        <f>IF(ESF!C18&gt;0,ESF!C18,ESF!C18*-1)</f>
        <v>0</v>
      </c>
      <c r="J21" s="119" t="s">
        <v>275</v>
      </c>
      <c r="K21" s="143">
        <f>IF(EAA!B15&gt;0,EAA!B15,EAA!B15*-1)</f>
        <v>0</v>
      </c>
      <c r="L21" s="144">
        <f t="shared" si="1"/>
        <v>0</v>
      </c>
      <c r="M21" s="193" t="s">
        <v>184</v>
      </c>
    </row>
    <row r="22" spans="1:13" x14ac:dyDescent="0.2">
      <c r="A22" s="91"/>
      <c r="B22" s="219" t="s">
        <v>186</v>
      </c>
      <c r="C22" s="138" t="s">
        <v>274</v>
      </c>
      <c r="D22" s="139">
        <f>IF(ESF!B19&gt;0,ESF!B19,ESF!B19*-1)</f>
        <v>2524912.29</v>
      </c>
      <c r="E22" s="140" t="s">
        <v>275</v>
      </c>
      <c r="F22" s="120">
        <f>IF(EAA!E16&gt;0,EAA!E16,EAA!E16*-1)</f>
        <v>2524912.29</v>
      </c>
      <c r="G22" s="141">
        <f t="shared" si="0"/>
        <v>0</v>
      </c>
      <c r="H22" s="142" t="s">
        <v>274</v>
      </c>
      <c r="I22" s="143">
        <f>IF(ESF!C19&gt;0,ESF!C19,ESF!C19*-1)</f>
        <v>2491912.29</v>
      </c>
      <c r="J22" s="119" t="s">
        <v>275</v>
      </c>
      <c r="K22" s="143">
        <f>IF(EAA!B16&gt;0,EAA!B16,EAA!B16*-1)</f>
        <v>2491912.29</v>
      </c>
      <c r="L22" s="144">
        <f t="shared" si="1"/>
        <v>0</v>
      </c>
      <c r="M22" s="193" t="s">
        <v>186</v>
      </c>
    </row>
    <row r="23" spans="1:13" x14ac:dyDescent="0.2">
      <c r="A23" s="91"/>
      <c r="B23" s="219" t="s">
        <v>188</v>
      </c>
      <c r="C23" s="138" t="s">
        <v>274</v>
      </c>
      <c r="D23" s="139">
        <f>IF(ESF!B20&gt;0,ESF!B20,ESF!B20*-1)</f>
        <v>34636.050000000003</v>
      </c>
      <c r="E23" s="140" t="s">
        <v>275</v>
      </c>
      <c r="F23" s="120">
        <f>IF(EAA!E17&gt;0,EAA!E17,EAA!E17*-1)</f>
        <v>34636.050000000003</v>
      </c>
      <c r="G23" s="141">
        <f t="shared" si="0"/>
        <v>0</v>
      </c>
      <c r="H23" s="142" t="s">
        <v>274</v>
      </c>
      <c r="I23" s="143">
        <f>IF(ESF!C20&gt;0,ESF!C20,ESF!C20*-1)</f>
        <v>34636.050000000003</v>
      </c>
      <c r="J23" s="119" t="s">
        <v>275</v>
      </c>
      <c r="K23" s="143">
        <f>IF(EAA!B17&gt;0,EAA!B17,EAA!B17*-1)</f>
        <v>34636.050000000003</v>
      </c>
      <c r="L23" s="144">
        <f t="shared" si="1"/>
        <v>0</v>
      </c>
      <c r="M23" s="193" t="s">
        <v>188</v>
      </c>
    </row>
    <row r="24" spans="1:13" ht="22.5" x14ac:dyDescent="0.2">
      <c r="A24" s="91"/>
      <c r="B24" s="219" t="s">
        <v>190</v>
      </c>
      <c r="C24" s="138" t="s">
        <v>274</v>
      </c>
      <c r="D24" s="139">
        <f>IF(ESF!B21&gt;0,ESF!B21,ESF!B21*-1)</f>
        <v>2223902.06</v>
      </c>
      <c r="E24" s="140" t="s">
        <v>275</v>
      </c>
      <c r="F24" s="120">
        <f>IF(EAA!E18&gt;0,EAA!E18,EAA!E18*-1)</f>
        <v>2223902.06</v>
      </c>
      <c r="G24" s="141">
        <f t="shared" si="0"/>
        <v>0</v>
      </c>
      <c r="H24" s="142" t="s">
        <v>274</v>
      </c>
      <c r="I24" s="143">
        <f>IF(ESF!C21&gt;0,ESF!C21,ESF!C21*-1)</f>
        <v>2223902.06</v>
      </c>
      <c r="J24" s="119" t="s">
        <v>275</v>
      </c>
      <c r="K24" s="143">
        <f>IF(EAA!B18&gt;0,EAA!B18,EAA!B18*-1)</f>
        <v>2223902.06</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322709.40000000002</v>
      </c>
      <c r="E28" s="156" t="s">
        <v>276</v>
      </c>
      <c r="F28" s="124">
        <f>IF(EFE!B65&gt;0,EFE!B65,EFE!B65*-1)</f>
        <v>322709.40000000002</v>
      </c>
      <c r="G28" s="127">
        <f t="shared" si="0"/>
        <v>0</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85978.34</v>
      </c>
      <c r="J29" s="115" t="s">
        <v>276</v>
      </c>
      <c r="K29" s="114">
        <f>IF(EFE!B63&gt;0,EFE!B63,EFE!B63*-1)</f>
        <v>85978.34</v>
      </c>
      <c r="L29" s="116">
        <f t="shared" si="1"/>
        <v>0</v>
      </c>
      <c r="M29" s="191" t="s">
        <v>162</v>
      </c>
    </row>
    <row r="30" spans="1:13" ht="12" thickBot="1" x14ac:dyDescent="0.25">
      <c r="A30" s="89" t="s">
        <v>30</v>
      </c>
      <c r="B30" s="226" t="s">
        <v>277</v>
      </c>
      <c r="C30" s="154" t="s">
        <v>274</v>
      </c>
      <c r="D30" s="124">
        <f>IF(ESF!B28&gt;0,ESF!B28,ESF!B28*-1)</f>
        <v>672274.11999999988</v>
      </c>
      <c r="E30" s="115" t="s">
        <v>274</v>
      </c>
      <c r="F30" s="124">
        <f>IF(ESF!E48&gt;0,ESF!E48,ESF!E48*-1)</f>
        <v>672274.12</v>
      </c>
      <c r="G30" s="127">
        <f>ROUND(D30-F30,2)</f>
        <v>0</v>
      </c>
      <c r="H30" s="113" t="s">
        <v>274</v>
      </c>
      <c r="I30" s="114">
        <f>IF(ESF!C28&gt;0,ESF!C28,ESF!C28*-1)</f>
        <v>402543.05999999982</v>
      </c>
      <c r="J30" s="115" t="s">
        <v>274</v>
      </c>
      <c r="K30" s="114">
        <f>IF(ESF!F48&gt;0,ESF!F48,ESF!F48*-1)</f>
        <v>402543.06</v>
      </c>
      <c r="L30" s="116">
        <f t="shared" si="1"/>
        <v>0</v>
      </c>
      <c r="M30" s="191" t="s">
        <v>277</v>
      </c>
    </row>
    <row r="31" spans="1:13" ht="12" thickBot="1" x14ac:dyDescent="0.25">
      <c r="A31" s="89" t="s">
        <v>33</v>
      </c>
      <c r="B31" s="226" t="s">
        <v>278</v>
      </c>
      <c r="C31" s="154" t="s">
        <v>274</v>
      </c>
      <c r="D31" s="124">
        <f>IF(ESF!E26&gt;0,ESF!E26,ESF!E26*-1)</f>
        <v>20832.87</v>
      </c>
      <c r="E31" s="115" t="s">
        <v>289</v>
      </c>
      <c r="F31" s="124">
        <f>IF(ADP!E34&gt;0,ADP!E34,ADP!E34*-1)</f>
        <v>20832.87</v>
      </c>
      <c r="G31" s="127">
        <f>ROUND(D31-F31,2)</f>
        <v>0</v>
      </c>
      <c r="H31" s="113" t="s">
        <v>274</v>
      </c>
      <c r="I31" s="114">
        <f>IF(ESF!F26&gt;0,ESF!F26,ESF!F26*-1)</f>
        <v>34144.36</v>
      </c>
      <c r="J31" s="115" t="s">
        <v>289</v>
      </c>
      <c r="K31" s="114">
        <f>IF(ADP!D34&gt;0,ADP!D34,ADP!D34*-1)</f>
        <v>34144.36</v>
      </c>
      <c r="L31" s="116">
        <f t="shared" si="1"/>
        <v>0</v>
      </c>
      <c r="M31" s="191" t="s">
        <v>278</v>
      </c>
    </row>
    <row r="32" spans="1:13" x14ac:dyDescent="0.2">
      <c r="A32" s="90" t="s">
        <v>36</v>
      </c>
      <c r="B32" s="230" t="s">
        <v>201</v>
      </c>
      <c r="C32" s="431"/>
      <c r="D32" s="432"/>
      <c r="E32" s="432"/>
      <c r="F32" s="432"/>
      <c r="G32" s="433"/>
      <c r="H32" s="134" t="s">
        <v>274</v>
      </c>
      <c r="I32" s="136">
        <f>IF(ESF!F30&gt;0,ESF!F30,ESF!F30*-1)</f>
        <v>334851.05</v>
      </c>
      <c r="J32" s="135" t="s">
        <v>288</v>
      </c>
      <c r="K32" s="136">
        <f>IF(VHP!B4&gt;0,VHP!B4,VHP!B4*-1)</f>
        <v>334851.05</v>
      </c>
      <c r="L32" s="137">
        <f t="shared" si="1"/>
        <v>0</v>
      </c>
      <c r="M32" s="195" t="s">
        <v>201</v>
      </c>
    </row>
    <row r="33" spans="1:15" ht="12" thickBot="1" x14ac:dyDescent="0.25">
      <c r="A33" s="92"/>
      <c r="B33" s="231" t="s">
        <v>201</v>
      </c>
      <c r="C33" s="429"/>
      <c r="D33" s="430"/>
      <c r="E33" s="430"/>
      <c r="F33" s="430"/>
      <c r="G33" s="434"/>
      <c r="H33" s="162" t="s">
        <v>274</v>
      </c>
      <c r="I33" s="152">
        <f>IF(ESF!F30&gt;0,ESF!F30,ESF!F30*-1)</f>
        <v>334851.05</v>
      </c>
      <c r="J33" s="151" t="s">
        <v>288</v>
      </c>
      <c r="K33" s="152">
        <f>IF(VHP!F4&gt;0,VHP!F4,VHP!F4*-1)</f>
        <v>334851.05</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33547.650000000023</v>
      </c>
      <c r="J34" s="115" t="s">
        <v>288</v>
      </c>
      <c r="K34" s="114">
        <f>IF(VHP!F9&gt;0,VHP!F9,VHP!F9*-1)</f>
        <v>33547.650000000023</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651441.25</v>
      </c>
      <c r="E37" s="115" t="s">
        <v>288</v>
      </c>
      <c r="F37" s="124">
        <f>IF(VHP!F38&gt;0,VHP!F38,VHP!F38*-1)</f>
        <v>651441.25</v>
      </c>
      <c r="G37" s="127">
        <f>ROUND(D37-F37,2)</f>
        <v>0</v>
      </c>
      <c r="H37" s="113" t="s">
        <v>274</v>
      </c>
      <c r="I37" s="114">
        <f>IF(ESF!F46&gt;0,ESF!F46,ESF!F46*-1)</f>
        <v>368398.7</v>
      </c>
      <c r="J37" s="115" t="s">
        <v>288</v>
      </c>
      <c r="K37" s="114">
        <f>IF(VHP!F20&gt;0,VHP!F20,VHP!F20*-1)</f>
        <v>368398.7</v>
      </c>
      <c r="L37" s="116">
        <f t="shared" si="1"/>
        <v>0</v>
      </c>
      <c r="M37" s="200" t="s">
        <v>279</v>
      </c>
    </row>
    <row r="38" spans="1:15" ht="22.5" x14ac:dyDescent="0.2">
      <c r="A38" s="90" t="s">
        <v>45</v>
      </c>
      <c r="B38" s="230" t="s">
        <v>280</v>
      </c>
      <c r="C38" s="431"/>
      <c r="D38" s="432"/>
      <c r="E38" s="432"/>
      <c r="F38" s="432"/>
      <c r="G38" s="433"/>
      <c r="H38" s="134" t="s">
        <v>288</v>
      </c>
      <c r="I38" s="136">
        <f>IF(VHP!B4&gt;0,VHP!B4,VHP!B4*-1)</f>
        <v>334851.05</v>
      </c>
      <c r="J38" s="135" t="s">
        <v>274</v>
      </c>
      <c r="K38" s="136">
        <f>IF(ESF!F30&gt;0,ESF!F30,ESF!F30*-1)</f>
        <v>334851.05</v>
      </c>
      <c r="L38" s="137">
        <f t="shared" si="1"/>
        <v>0</v>
      </c>
      <c r="M38" s="195" t="s">
        <v>280</v>
      </c>
    </row>
    <row r="39" spans="1:15" ht="23.25" thickBot="1" x14ac:dyDescent="0.25">
      <c r="A39" s="92"/>
      <c r="B39" s="231" t="s">
        <v>280</v>
      </c>
      <c r="C39" s="429"/>
      <c r="D39" s="430"/>
      <c r="E39" s="430"/>
      <c r="F39" s="430"/>
      <c r="G39" s="434"/>
      <c r="H39" s="162" t="s">
        <v>288</v>
      </c>
      <c r="I39" s="152">
        <f>IF(VHP!F4&gt;0,VHP!F4,VHP!F4*-1)</f>
        <v>334851.05</v>
      </c>
      <c r="J39" s="151" t="s">
        <v>274</v>
      </c>
      <c r="K39" s="152">
        <f>IF(ESF!F30&gt;0,ESF!F30,ESF!F30*-1)</f>
        <v>334851.05</v>
      </c>
      <c r="L39" s="153">
        <f t="shared" si="1"/>
        <v>0</v>
      </c>
      <c r="M39" s="196" t="s">
        <v>280</v>
      </c>
    </row>
    <row r="40" spans="1:15" ht="23.25" thickBot="1" x14ac:dyDescent="0.25">
      <c r="A40" s="89" t="s">
        <v>48</v>
      </c>
      <c r="B40" s="232" t="s">
        <v>281</v>
      </c>
      <c r="C40" s="429"/>
      <c r="D40" s="430"/>
      <c r="E40" s="430"/>
      <c r="F40" s="430"/>
      <c r="G40" s="434"/>
      <c r="H40" s="113" t="s">
        <v>288</v>
      </c>
      <c r="I40" s="114">
        <f>IF(VHP!F9&gt;0,VHP!F9,VHP!F9*-1)</f>
        <v>33547.650000000023</v>
      </c>
      <c r="J40" s="115" t="s">
        <v>274</v>
      </c>
      <c r="K40" s="114">
        <f>IF(ESF!F35&gt;0,ESF!F35,ESF!F35*-1)</f>
        <v>33547.650000000023</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651441.25</v>
      </c>
      <c r="E43" s="115" t="s">
        <v>274</v>
      </c>
      <c r="F43" s="163">
        <f>IF(ESF!E46&gt;0,ESF!E46,ESF!E46*-1)</f>
        <v>651441.25</v>
      </c>
      <c r="G43" s="127">
        <f t="shared" ref="G43:G49" si="2">ROUND(D43-F43,2)</f>
        <v>0</v>
      </c>
      <c r="H43" s="113" t="s">
        <v>288</v>
      </c>
      <c r="I43" s="114">
        <f>IF(VHP!F20&gt;0,VHP!F20,VHP!F20*-1)</f>
        <v>368398.7</v>
      </c>
      <c r="J43" s="115" t="s">
        <v>274</v>
      </c>
      <c r="K43" s="114">
        <f>IF(ESF!F46&gt;0,ESF!F46,ESF!F46*-1)</f>
        <v>368398.7</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346030.17</v>
      </c>
      <c r="E50" s="115" t="s">
        <v>290</v>
      </c>
      <c r="F50" s="163">
        <f>IF(CSF!$B52&gt;0,CSF!$B52,CSF!$C52)</f>
        <v>346030.17</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629072.72</v>
      </c>
      <c r="E53" s="115" t="s">
        <v>290</v>
      </c>
      <c r="F53" s="163">
        <f>IF(CSF!$B51&gt;0,CSF!$B51,CSF!$C51)</f>
        <v>629072.72</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283042.55</v>
      </c>
      <c r="E54" s="135" t="s">
        <v>274</v>
      </c>
      <c r="F54" s="164">
        <f>IF(ESF!E36&gt;0,ESF!E36,ESF!E36*-1)</f>
        <v>283042.55</v>
      </c>
      <c r="G54" s="133">
        <f t="shared" si="3"/>
        <v>0</v>
      </c>
      <c r="H54" s="429"/>
      <c r="I54" s="430"/>
      <c r="J54" s="430"/>
      <c r="K54" s="430"/>
      <c r="L54" s="434"/>
      <c r="M54" s="206" t="s">
        <v>156</v>
      </c>
    </row>
    <row r="55" spans="1:13" ht="12" thickBot="1" x14ac:dyDescent="0.25">
      <c r="A55" s="92"/>
      <c r="B55" s="238" t="s">
        <v>156</v>
      </c>
      <c r="C55" s="162" t="s">
        <v>288</v>
      </c>
      <c r="D55" s="148">
        <f>IF(VHP!D28&gt;0,VHP!D28,VHP!D28*-1)</f>
        <v>283042.55</v>
      </c>
      <c r="E55" s="151" t="s">
        <v>284</v>
      </c>
      <c r="F55" s="169">
        <f>IF(ACT!B68&gt;0,ACT!B68,ACT!B68*-1)</f>
        <v>283042.54999999981</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346030.17</v>
      </c>
      <c r="J56" s="179" t="s">
        <v>274</v>
      </c>
      <c r="K56" s="178">
        <f>IF(ESF!F36&gt;0,ESF!F36,ESF!F36*-1)</f>
        <v>346030.17</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346030.17</v>
      </c>
      <c r="J57" s="119" t="s">
        <v>284</v>
      </c>
      <c r="K57" s="181">
        <f>IF(ACT!C68&gt;0,ACT!C68,ACT!C68*-1)</f>
        <v>346030.16999999993</v>
      </c>
      <c r="L57" s="144">
        <f t="shared" si="4"/>
        <v>0</v>
      </c>
      <c r="M57" s="204" t="s">
        <v>156</v>
      </c>
    </row>
    <row r="58" spans="1:13" x14ac:dyDescent="0.2">
      <c r="A58" s="100" t="s">
        <v>68</v>
      </c>
      <c r="B58" s="248" t="s">
        <v>206</v>
      </c>
      <c r="C58" s="167" t="s">
        <v>288</v>
      </c>
      <c r="D58" s="120">
        <f>IF(VHP!D29&gt;0,VHP!D29,VHP!D29*-1)</f>
        <v>346030.17</v>
      </c>
      <c r="E58" s="175"/>
      <c r="F58" s="175"/>
      <c r="G58" s="175"/>
      <c r="H58" s="441"/>
      <c r="I58" s="442"/>
      <c r="J58" s="119" t="s">
        <v>274</v>
      </c>
      <c r="K58" s="143">
        <f>IF(ESF!F36&gt;0,ESF!F36,ESF!F36*-1)</f>
        <v>346030.17</v>
      </c>
      <c r="L58" s="144">
        <f>ROUND((D58-K58),2)</f>
        <v>0</v>
      </c>
      <c r="M58" s="208" t="s">
        <v>206</v>
      </c>
    </row>
    <row r="59" spans="1:13" ht="12" thickBot="1" x14ac:dyDescent="0.25">
      <c r="A59" s="92"/>
      <c r="B59" s="249" t="s">
        <v>206</v>
      </c>
      <c r="C59" s="170" t="s">
        <v>288</v>
      </c>
      <c r="D59" s="171">
        <f>IF(VHP!D29&gt;0,VHP!D29,VHP!D29*-1)</f>
        <v>346030.17</v>
      </c>
      <c r="E59" s="175"/>
      <c r="F59" s="175"/>
      <c r="G59" s="175"/>
      <c r="H59" s="435"/>
      <c r="I59" s="443"/>
      <c r="J59" s="172" t="s">
        <v>285</v>
      </c>
      <c r="K59" s="181">
        <f>IF(ACT!C68&gt;0,ACT!C68,ACT!C68*-1)</f>
        <v>346030.16999999993</v>
      </c>
      <c r="L59" s="182">
        <f>ROUND((D59-K59),2)</f>
        <v>0</v>
      </c>
      <c r="M59" s="203" t="s">
        <v>206</v>
      </c>
    </row>
    <row r="60" spans="1:13" ht="12" thickBot="1" x14ac:dyDescent="0.25">
      <c r="A60" s="95" t="s">
        <v>72</v>
      </c>
      <c r="B60" s="241" t="s">
        <v>162</v>
      </c>
      <c r="C60" s="113" t="s">
        <v>290</v>
      </c>
      <c r="D60" s="163">
        <f>IF(CSF!$B5&gt;0,CSF!$B5,CSF!$C5)</f>
        <v>236731.06</v>
      </c>
      <c r="E60" s="115" t="s">
        <v>276</v>
      </c>
      <c r="F60" s="163">
        <f>IF(EFE!B61&gt;0,EFE!B61,EFE!B61*-1)</f>
        <v>236731.05999999982</v>
      </c>
      <c r="G60" s="127">
        <f>ROUND(D60-F60,2)</f>
        <v>0</v>
      </c>
      <c r="H60" s="431"/>
      <c r="I60" s="432"/>
      <c r="J60" s="432"/>
      <c r="K60" s="432"/>
      <c r="L60" s="433"/>
      <c r="M60" s="209" t="s">
        <v>162</v>
      </c>
    </row>
    <row r="61" spans="1:13" x14ac:dyDescent="0.2">
      <c r="A61" s="93" t="s">
        <v>75</v>
      </c>
      <c r="B61" s="242" t="s">
        <v>162</v>
      </c>
      <c r="C61" s="134" t="s">
        <v>290</v>
      </c>
      <c r="D61" s="164">
        <f>IF(CSF!$B5&gt;0,CSF!$B5,CSF!$C5)</f>
        <v>236731.06</v>
      </c>
      <c r="E61" s="135" t="s">
        <v>275</v>
      </c>
      <c r="F61" s="164">
        <f>IF(EAA!F5&gt;0,EAA!F5,EAA!F5*-1)</f>
        <v>236731.05999999991</v>
      </c>
      <c r="G61" s="133">
        <f>ROUND(D61-F61,2)</f>
        <v>0</v>
      </c>
      <c r="H61" s="429"/>
      <c r="I61" s="430"/>
      <c r="J61" s="430"/>
      <c r="K61" s="430"/>
      <c r="L61" s="434"/>
      <c r="M61" s="210" t="s">
        <v>162</v>
      </c>
    </row>
    <row r="62" spans="1:13" x14ac:dyDescent="0.2">
      <c r="A62" s="96"/>
      <c r="B62" s="222" t="s">
        <v>164</v>
      </c>
      <c r="C62" s="167" t="s">
        <v>290</v>
      </c>
      <c r="D62" s="168">
        <f>IF(CSF!$B6&gt;0,CSF!$B6,CSF!$C6)</f>
        <v>0</v>
      </c>
      <c r="E62" s="119" t="s">
        <v>275</v>
      </c>
      <c r="F62" s="168">
        <f>IF(EAA!F6&gt;0,EAA!F6,EAA!F6*-1)</f>
        <v>5.6388671509921551E-11</v>
      </c>
      <c r="G62" s="141">
        <f>ROUND(D62-F62,2)</f>
        <v>0</v>
      </c>
      <c r="H62" s="429"/>
      <c r="I62" s="430"/>
      <c r="J62" s="430"/>
      <c r="K62" s="430"/>
      <c r="L62" s="434"/>
      <c r="M62" s="211" t="s">
        <v>164</v>
      </c>
    </row>
    <row r="63" spans="1:13" x14ac:dyDescent="0.2">
      <c r="A63" s="96"/>
      <c r="B63" s="222" t="s">
        <v>166</v>
      </c>
      <c r="C63" s="167" t="s">
        <v>290</v>
      </c>
      <c r="D63" s="168">
        <f>IF(CSF!$B7&gt;0,CSF!$B7,CSF!$C7)</f>
        <v>0</v>
      </c>
      <c r="E63" s="119" t="s">
        <v>275</v>
      </c>
      <c r="F63" s="168">
        <f>IF(EAA!F7&gt;0,EAA!F7,EAA!F7*-1)</f>
        <v>0</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0</v>
      </c>
      <c r="E65" s="119" t="s">
        <v>275</v>
      </c>
      <c r="F65" s="168">
        <f>IF(EAA!F9&gt;0,EAA!F9,EAA!F9*-1)</f>
        <v>0</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0</v>
      </c>
      <c r="E70" s="119" t="s">
        <v>275</v>
      </c>
      <c r="F70" s="168">
        <f>IF(EAA!F15&gt;0,EAA!F15,EAA!F15*-1)</f>
        <v>0</v>
      </c>
      <c r="G70" s="141">
        <f t="shared" si="5"/>
        <v>0</v>
      </c>
      <c r="H70" s="429"/>
      <c r="I70" s="430"/>
      <c r="J70" s="430"/>
      <c r="K70" s="430"/>
      <c r="L70" s="434"/>
      <c r="M70" s="211" t="s">
        <v>184</v>
      </c>
    </row>
    <row r="71" spans="1:13" x14ac:dyDescent="0.2">
      <c r="A71" s="96"/>
      <c r="B71" s="222" t="s">
        <v>186</v>
      </c>
      <c r="C71" s="167" t="s">
        <v>290</v>
      </c>
      <c r="D71" s="168">
        <f>IF(CSF!$B17&gt;0,CSF!$B17,CSF!$C17)</f>
        <v>33000</v>
      </c>
      <c r="E71" s="119" t="s">
        <v>275</v>
      </c>
      <c r="F71" s="168">
        <f>IF(EAA!F16&gt;0,EAA!F16,EAA!F16*-1)</f>
        <v>33000</v>
      </c>
      <c r="G71" s="141">
        <f t="shared" si="5"/>
        <v>0</v>
      </c>
      <c r="H71" s="429"/>
      <c r="I71" s="430"/>
      <c r="J71" s="430"/>
      <c r="K71" s="430"/>
      <c r="L71" s="434"/>
      <c r="M71" s="211" t="s">
        <v>186</v>
      </c>
    </row>
    <row r="72" spans="1:13" x14ac:dyDescent="0.2">
      <c r="A72" s="96"/>
      <c r="B72" s="222" t="s">
        <v>188</v>
      </c>
      <c r="C72" s="167" t="s">
        <v>290</v>
      </c>
      <c r="D72" s="168">
        <f>IF(CSF!$B18&gt;0,CSF!$B18,CSF!$C18)</f>
        <v>0</v>
      </c>
      <c r="E72" s="119" t="s">
        <v>275</v>
      </c>
      <c r="F72" s="168">
        <f>IF(EAA!F17&gt;0,EAA!F17,EAA!F17*-1)</f>
        <v>0</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0</v>
      </c>
      <c r="E74" s="119" t="s">
        <v>275</v>
      </c>
      <c r="F74" s="168">
        <f>IF(EAA!F19&gt;0,EAA!F19,EAA!F19*-1)</f>
        <v>0</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629072.72</v>
      </c>
      <c r="E80" s="115" t="s">
        <v>288</v>
      </c>
      <c r="F80" s="163">
        <f>IF((VHP!D28+VHP!D29)&gt;0,VHP!D28+VHP!D29,(VHP!D28+VHP!D29)*-1)</f>
        <v>629072.72</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236731.05999999982</v>
      </c>
      <c r="E81" s="115" t="s">
        <v>290</v>
      </c>
      <c r="F81" s="163">
        <f>IF(CSF!$B5&gt;0,CSF!$B5,CSF!$C5)</f>
        <v>236731.06</v>
      </c>
      <c r="G81" s="127">
        <f t="shared" si="6"/>
        <v>0</v>
      </c>
      <c r="H81" s="435"/>
      <c r="I81" s="436"/>
      <c r="J81" s="436"/>
      <c r="K81" s="436"/>
      <c r="L81" s="437"/>
      <c r="M81" s="191" t="s">
        <v>245</v>
      </c>
    </row>
    <row r="82" spans="1:13" ht="23.25" thickBot="1" x14ac:dyDescent="0.25">
      <c r="A82" s="95" t="s">
        <v>86</v>
      </c>
      <c r="B82" s="226" t="s">
        <v>247</v>
      </c>
      <c r="C82" s="113" t="s">
        <v>276</v>
      </c>
      <c r="D82" s="124">
        <f>IF(EFE!B65&gt;0,EFE!B65,EFE!B65*-1)</f>
        <v>322709.40000000002</v>
      </c>
      <c r="E82" s="115" t="s">
        <v>274</v>
      </c>
      <c r="F82" s="163">
        <f>IF(ESF!B5&gt;0,ESF!B5,ESF!B5*-1)</f>
        <v>322709.40000000002</v>
      </c>
      <c r="G82" s="127">
        <f t="shared" si="6"/>
        <v>0</v>
      </c>
      <c r="H82" s="113" t="s">
        <v>276</v>
      </c>
      <c r="I82" s="114">
        <f>IF(EFE!C65&gt;0,EFE!C65,EFE!C65*-1)</f>
        <v>85978.34</v>
      </c>
      <c r="J82" s="115" t="s">
        <v>274</v>
      </c>
      <c r="K82" s="114">
        <f>IF(ESF!C5&gt;0,ESF!C5,ESF!C5*-1)</f>
        <v>85978.34</v>
      </c>
      <c r="L82" s="116">
        <f t="shared" ref="L82:L99" si="7">ROUND(I82-K82,2)</f>
        <v>0</v>
      </c>
      <c r="M82" s="191" t="s">
        <v>247</v>
      </c>
    </row>
    <row r="83" spans="1:13" ht="23.25" thickBot="1" x14ac:dyDescent="0.25">
      <c r="A83" s="95" t="s">
        <v>89</v>
      </c>
      <c r="B83" s="226" t="s">
        <v>246</v>
      </c>
      <c r="C83" s="183" t="s">
        <v>276</v>
      </c>
      <c r="D83" s="124">
        <f>IF(EFE!B63&gt;0,EFE!B63,EFE!B63*-1)</f>
        <v>85978.34</v>
      </c>
      <c r="E83" s="438"/>
      <c r="F83" s="439"/>
      <c r="G83" s="439"/>
      <c r="H83" s="439"/>
      <c r="I83" s="440"/>
      <c r="J83" s="115" t="s">
        <v>274</v>
      </c>
      <c r="K83" s="184">
        <f>IF(ESF!C5&gt;0,ESF!C5,ESF!C5*-1)</f>
        <v>85978.34</v>
      </c>
      <c r="L83" s="116">
        <f>ROUND(D83-K83,2)</f>
        <v>0</v>
      </c>
      <c r="M83" s="191" t="s">
        <v>246</v>
      </c>
    </row>
    <row r="84" spans="1:13" x14ac:dyDescent="0.2">
      <c r="A84" s="93" t="s">
        <v>91</v>
      </c>
      <c r="B84" s="244" t="s">
        <v>162</v>
      </c>
      <c r="C84" s="134" t="s">
        <v>275</v>
      </c>
      <c r="D84" s="253">
        <f>IF(EAA!E5&gt;0,EAA!E5,EAA!E5*-1)</f>
        <v>322709.39999999991</v>
      </c>
      <c r="E84" s="135" t="s">
        <v>274</v>
      </c>
      <c r="F84" s="255">
        <f>IF(ESF!B5&gt;0,ESF!B5,ESF!B5*-1)</f>
        <v>322709.40000000002</v>
      </c>
      <c r="G84" s="133">
        <f t="shared" ref="G84:G99" si="8">ROUND(D84-F84,2)</f>
        <v>0</v>
      </c>
      <c r="H84" s="134" t="s">
        <v>275</v>
      </c>
      <c r="I84" s="108">
        <f>IF(EAA!B5&gt;0,EAA!B5,EAA!B5*-1)</f>
        <v>85978.34</v>
      </c>
      <c r="J84" s="135" t="s">
        <v>274</v>
      </c>
      <c r="K84" s="136">
        <f>IF(ESF!C5&gt;0,ESF!C5,ESF!C5*-1)</f>
        <v>85978.34</v>
      </c>
      <c r="L84" s="137">
        <f t="shared" si="7"/>
        <v>0</v>
      </c>
      <c r="M84" s="213" t="s">
        <v>162</v>
      </c>
    </row>
    <row r="85" spans="1:13" x14ac:dyDescent="0.2">
      <c r="A85" s="96"/>
      <c r="B85" s="223" t="s">
        <v>164</v>
      </c>
      <c r="C85" s="167" t="s">
        <v>275</v>
      </c>
      <c r="D85" s="120">
        <f>IF(EAA!E6&gt;0,EAA!E6,EAA!E6*-1)</f>
        <v>13918.439999999944</v>
      </c>
      <c r="E85" s="119" t="s">
        <v>274</v>
      </c>
      <c r="F85" s="168">
        <f>IF(ESF!B6&gt;0,ESF!B6,ESF!B6*-1)</f>
        <v>13918.44</v>
      </c>
      <c r="G85" s="141">
        <f t="shared" si="8"/>
        <v>0</v>
      </c>
      <c r="H85" s="167" t="s">
        <v>275</v>
      </c>
      <c r="I85" s="143">
        <f>IF(EAA!B6&gt;0,EAA!B6,EAA!B6*-1)</f>
        <v>13918.44</v>
      </c>
      <c r="J85" s="119" t="s">
        <v>274</v>
      </c>
      <c r="K85" s="143">
        <f>IF(ESF!C6&gt;0,ESF!C6,ESF!C6*-1)</f>
        <v>13918.44</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0</v>
      </c>
      <c r="E93" s="119" t="s">
        <v>274</v>
      </c>
      <c r="F93" s="168">
        <f>IF(ESF!B18&gt;0,ESF!B18,ESF!B18*-1)</f>
        <v>0</v>
      </c>
      <c r="G93" s="141">
        <f t="shared" si="8"/>
        <v>0</v>
      </c>
      <c r="H93" s="167" t="s">
        <v>275</v>
      </c>
      <c r="I93" s="143">
        <f>IF(EAA!B15&gt;0,EAA!B15,EAA!B15*-1)</f>
        <v>0</v>
      </c>
      <c r="J93" s="119" t="s">
        <v>274</v>
      </c>
      <c r="K93" s="143">
        <f>IF(ESF!C18&gt;0,ESF!C18,ESF!C18*-1)</f>
        <v>0</v>
      </c>
      <c r="L93" s="144">
        <f t="shared" si="7"/>
        <v>0</v>
      </c>
      <c r="M93" s="214" t="s">
        <v>184</v>
      </c>
    </row>
    <row r="94" spans="1:13" x14ac:dyDescent="0.2">
      <c r="A94" s="96"/>
      <c r="B94" s="223" t="s">
        <v>186</v>
      </c>
      <c r="C94" s="167" t="s">
        <v>275</v>
      </c>
      <c r="D94" s="120">
        <f>IF(EAA!E16&gt;0,EAA!E16,EAA!E16*-1)</f>
        <v>2524912.29</v>
      </c>
      <c r="E94" s="119" t="s">
        <v>274</v>
      </c>
      <c r="F94" s="168">
        <f>IF(ESF!B19&gt;0,ESF!B19,ESF!B19*-1)</f>
        <v>2524912.29</v>
      </c>
      <c r="G94" s="141">
        <f t="shared" si="8"/>
        <v>0</v>
      </c>
      <c r="H94" s="167" t="s">
        <v>275</v>
      </c>
      <c r="I94" s="143">
        <f>IF(EAA!B16&gt;0,EAA!B16,EAA!B16*-1)</f>
        <v>2491912.29</v>
      </c>
      <c r="J94" s="119" t="s">
        <v>274</v>
      </c>
      <c r="K94" s="143">
        <f>IF(ESF!C19&gt;0,ESF!C19,ESF!C19*-1)</f>
        <v>2491912.29</v>
      </c>
      <c r="L94" s="144">
        <f t="shared" si="7"/>
        <v>0</v>
      </c>
      <c r="M94" s="214" t="s">
        <v>186</v>
      </c>
    </row>
    <row r="95" spans="1:13" x14ac:dyDescent="0.2">
      <c r="A95" s="96"/>
      <c r="B95" s="223" t="s">
        <v>188</v>
      </c>
      <c r="C95" s="167" t="s">
        <v>275</v>
      </c>
      <c r="D95" s="120">
        <f>IF(EAA!E17&gt;0,EAA!E17,EAA!E17*-1)</f>
        <v>34636.050000000003</v>
      </c>
      <c r="E95" s="119" t="s">
        <v>274</v>
      </c>
      <c r="F95" s="168">
        <f>IF(ESF!B20&gt;0,ESF!B20,ESF!B20*-1)</f>
        <v>34636.050000000003</v>
      </c>
      <c r="G95" s="141">
        <f t="shared" si="8"/>
        <v>0</v>
      </c>
      <c r="H95" s="167" t="s">
        <v>275</v>
      </c>
      <c r="I95" s="143">
        <f>IF(EAA!B17&gt;0,EAA!B17,EAA!B17*-1)</f>
        <v>34636.050000000003</v>
      </c>
      <c r="J95" s="119" t="s">
        <v>274</v>
      </c>
      <c r="K95" s="143">
        <f>IF(ESF!C20&gt;0,ESF!C20,ESF!C20*-1)</f>
        <v>34636.050000000003</v>
      </c>
      <c r="L95" s="144">
        <f t="shared" si="7"/>
        <v>0</v>
      </c>
      <c r="M95" s="214" t="s">
        <v>188</v>
      </c>
    </row>
    <row r="96" spans="1:13" ht="22.5" x14ac:dyDescent="0.2">
      <c r="A96" s="96"/>
      <c r="B96" s="223" t="s">
        <v>190</v>
      </c>
      <c r="C96" s="167" t="s">
        <v>275</v>
      </c>
      <c r="D96" s="120">
        <f>IF(EAA!E18&gt;0,EAA!E18,EAA!E18*-1)</f>
        <v>2223902.06</v>
      </c>
      <c r="E96" s="119" t="s">
        <v>274</v>
      </c>
      <c r="F96" s="168">
        <f>IF(ESF!B21&gt;0,ESF!B21,ESF!B21*-1)</f>
        <v>2223902.06</v>
      </c>
      <c r="G96" s="141">
        <f t="shared" si="8"/>
        <v>0</v>
      </c>
      <c r="H96" s="167" t="s">
        <v>275</v>
      </c>
      <c r="I96" s="143">
        <f>IF(EAA!B18&gt;0,EAA!B18,EAA!B18*-1)</f>
        <v>2223902.06</v>
      </c>
      <c r="J96" s="119" t="s">
        <v>274</v>
      </c>
      <c r="K96" s="143">
        <f>IF(ESF!C21&gt;0,ESF!C21,ESF!C21*-1)</f>
        <v>2223902.06</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236731.05999999991</v>
      </c>
      <c r="E100" s="179" t="s">
        <v>290</v>
      </c>
      <c r="F100" s="186">
        <f>IF(CSF!$B5&gt;0,CSF!$B5,CSF!$C5)</f>
        <v>236731.06</v>
      </c>
      <c r="G100" s="187">
        <f>ROUND(D100-F100,2)</f>
        <v>0</v>
      </c>
      <c r="H100" s="429"/>
      <c r="I100" s="430"/>
      <c r="J100" s="430"/>
      <c r="K100" s="188"/>
      <c r="L100" s="189"/>
      <c r="M100" s="216" t="s">
        <v>162</v>
      </c>
    </row>
    <row r="101" spans="1:13" x14ac:dyDescent="0.2">
      <c r="A101" s="84"/>
      <c r="B101" s="224" t="s">
        <v>164</v>
      </c>
      <c r="C101" s="167" t="s">
        <v>275</v>
      </c>
      <c r="D101" s="185">
        <f>IF(EAA!F6&gt;0,EAA!F6,EAA!F6*-1)</f>
        <v>5.6388671509921551E-11</v>
      </c>
      <c r="E101" s="119" t="s">
        <v>290</v>
      </c>
      <c r="F101" s="168">
        <f>IF(CSF!$B6&gt;0,CSF!$B6,CSF!$C6)</f>
        <v>0</v>
      </c>
      <c r="G101" s="141">
        <f>ROUND(D101-F101,2)</f>
        <v>0</v>
      </c>
      <c r="H101" s="429"/>
      <c r="I101" s="430"/>
      <c r="J101" s="430"/>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29"/>
      <c r="I109" s="430"/>
      <c r="J109" s="430"/>
      <c r="K109" s="188"/>
      <c r="L109" s="189"/>
      <c r="M109" s="216" t="s">
        <v>184</v>
      </c>
    </row>
    <row r="110" spans="1:13" x14ac:dyDescent="0.2">
      <c r="A110" s="84"/>
      <c r="B110" s="224" t="s">
        <v>186</v>
      </c>
      <c r="C110" s="167" t="s">
        <v>275</v>
      </c>
      <c r="D110" s="185">
        <f>IF(EAA!F16&gt;0,EAA!F16,EAA!F16*-1)</f>
        <v>33000</v>
      </c>
      <c r="E110" s="119" t="s">
        <v>290</v>
      </c>
      <c r="F110" s="168">
        <f>IF(CSF!$B17&gt;0,CSF!$B17,CSF!$C17)</f>
        <v>33000</v>
      </c>
      <c r="G110" s="141">
        <f t="shared" si="9"/>
        <v>0</v>
      </c>
      <c r="H110" s="429"/>
      <c r="I110" s="430"/>
      <c r="J110" s="430"/>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20832.87</v>
      </c>
      <c r="E116" s="115" t="s">
        <v>274</v>
      </c>
      <c r="F116" s="124">
        <f>IF(ESF!E26&gt;0,ESF!E26,ESF!E26*-1)</f>
        <v>20832.87</v>
      </c>
      <c r="G116" s="127">
        <f>ROUND(D116-F116,2)</f>
        <v>0</v>
      </c>
      <c r="H116" s="113" t="s">
        <v>289</v>
      </c>
      <c r="I116" s="114">
        <f>IF(ADP!D34&gt;0,ADP!D34,ADP!D34*-1)</f>
        <v>34144.36</v>
      </c>
      <c r="J116" s="115" t="s">
        <v>274</v>
      </c>
      <c r="K116" s="114">
        <f>IF(ESF!F26&gt;0,ESF!F26,ESF!F26*-1)</f>
        <v>34144.36</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689</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4702527.05</v>
      </c>
      <c r="D5" s="417">
        <f>D6+D7</f>
        <v>2552669</v>
      </c>
      <c r="E5" s="417">
        <f>E6+E7</f>
        <v>2552669</v>
      </c>
    </row>
    <row r="6" spans="1:5" ht="12.95" customHeight="1" x14ac:dyDescent="0.2">
      <c r="A6" s="418"/>
      <c r="B6" s="419" t="s">
        <v>647</v>
      </c>
      <c r="C6" s="420"/>
      <c r="D6" s="420"/>
      <c r="E6" s="420"/>
    </row>
    <row r="7" spans="1:5" ht="12.95" customHeight="1" x14ac:dyDescent="0.2">
      <c r="A7" s="418"/>
      <c r="B7" s="419" t="s">
        <v>648</v>
      </c>
      <c r="C7" s="420">
        <v>4702527.05</v>
      </c>
      <c r="D7" s="420">
        <v>2552669</v>
      </c>
      <c r="E7" s="420">
        <v>2552669</v>
      </c>
    </row>
    <row r="8" spans="1:5" x14ac:dyDescent="0.2">
      <c r="A8" s="418"/>
      <c r="B8" s="421"/>
      <c r="C8" s="420"/>
      <c r="D8" s="420"/>
      <c r="E8" s="420"/>
    </row>
    <row r="9" spans="1:5" ht="12.95" customHeight="1" x14ac:dyDescent="0.2">
      <c r="A9" s="415" t="s">
        <v>649</v>
      </c>
      <c r="B9" s="416"/>
      <c r="C9" s="417">
        <f>C10+C11</f>
        <v>4702527.05</v>
      </c>
      <c r="D9" s="417">
        <f>D10+D11</f>
        <v>2302626.4500000002</v>
      </c>
      <c r="E9" s="417">
        <f>E10+E11</f>
        <v>2302626.4500000002</v>
      </c>
    </row>
    <row r="10" spans="1:5" ht="12.95" customHeight="1" x14ac:dyDescent="0.2">
      <c r="A10" s="418"/>
      <c r="B10" s="419" t="s">
        <v>650</v>
      </c>
      <c r="C10" s="420"/>
      <c r="D10" s="420"/>
      <c r="E10" s="420"/>
    </row>
    <row r="11" spans="1:5" ht="12.95" customHeight="1" x14ac:dyDescent="0.2">
      <c r="A11" s="418"/>
      <c r="B11" s="419" t="s">
        <v>651</v>
      </c>
      <c r="C11" s="420">
        <v>4702527.05</v>
      </c>
      <c r="D11" s="420">
        <v>2302626.4500000002</v>
      </c>
      <c r="E11" s="420">
        <v>2302626.4500000002</v>
      </c>
    </row>
    <row r="12" spans="1:5" x14ac:dyDescent="0.2">
      <c r="A12" s="418"/>
      <c r="B12" s="421"/>
      <c r="C12" s="420"/>
      <c r="D12" s="420"/>
      <c r="E12" s="420"/>
    </row>
    <row r="13" spans="1:5" ht="12.95" customHeight="1" x14ac:dyDescent="0.2">
      <c r="A13" s="415" t="s">
        <v>652</v>
      </c>
      <c r="B13" s="416"/>
      <c r="C13" s="417">
        <f>C5-C9</f>
        <v>0</v>
      </c>
      <c r="D13" s="417">
        <f>D5-D9</f>
        <v>250042.54999999981</v>
      </c>
      <c r="E13" s="417">
        <f>E5-E9</f>
        <v>250042.54999999981</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250042.54999999981</v>
      </c>
      <c r="E17" s="417">
        <f>E13</f>
        <v>250042.54999999981</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250042.54999999981</v>
      </c>
      <c r="E21" s="417">
        <f>E17+E19</f>
        <v>250042.54999999981</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6" t="s">
        <v>5</v>
      </c>
      <c r="B5" s="456" t="s">
        <v>325</v>
      </c>
      <c r="C5" s="456" t="s">
        <v>273</v>
      </c>
      <c r="D5" s="458" t="s">
        <v>326</v>
      </c>
      <c r="E5" s="460" t="s">
        <v>286</v>
      </c>
      <c r="F5" s="458" t="s">
        <v>273</v>
      </c>
      <c r="G5" s="458" t="s">
        <v>326</v>
      </c>
      <c r="H5" s="460" t="s">
        <v>286</v>
      </c>
      <c r="I5" s="462" t="s">
        <v>287</v>
      </c>
    </row>
    <row r="6" spans="1:12" ht="15" customHeight="1" x14ac:dyDescent="0.2">
      <c r="A6" s="457"/>
      <c r="B6" s="457"/>
      <c r="C6" s="457"/>
      <c r="D6" s="459"/>
      <c r="E6" s="461"/>
      <c r="F6" s="459"/>
      <c r="G6" s="459"/>
      <c r="H6" s="461"/>
      <c r="I6" s="463"/>
    </row>
    <row r="7" spans="1:12" x14ac:dyDescent="0.2">
      <c r="A7" s="264" t="s">
        <v>292</v>
      </c>
      <c r="B7" s="265" t="s">
        <v>327</v>
      </c>
      <c r="C7" s="266" t="s">
        <v>328</v>
      </c>
      <c r="D7" s="266" t="s">
        <v>329</v>
      </c>
      <c r="E7" s="267">
        <f>+EAI!B15</f>
        <v>4702527.05</v>
      </c>
      <c r="F7" s="266" t="s">
        <v>330</v>
      </c>
      <c r="G7" s="266" t="s">
        <v>331</v>
      </c>
      <c r="H7" s="267">
        <f>+Memoria!C41</f>
        <v>4702527.05</v>
      </c>
      <c r="I7" s="268">
        <f>ROUND(E7-H7,2)</f>
        <v>0</v>
      </c>
    </row>
    <row r="8" spans="1:12" ht="22.5" x14ac:dyDescent="0.2">
      <c r="A8" s="269" t="s">
        <v>295</v>
      </c>
      <c r="B8" s="5" t="s">
        <v>332</v>
      </c>
      <c r="C8" s="270" t="s">
        <v>328</v>
      </c>
      <c r="D8" s="270" t="s">
        <v>333</v>
      </c>
      <c r="E8" s="271">
        <f>+EAI!C15</f>
        <v>893031.74</v>
      </c>
      <c r="F8" s="270" t="s">
        <v>330</v>
      </c>
      <c r="G8" s="270" t="s">
        <v>334</v>
      </c>
      <c r="H8" s="271">
        <f>+Memoria!C43</f>
        <v>893031.74</v>
      </c>
      <c r="I8" s="272">
        <f>ROUND(E8-H8,2)</f>
        <v>0</v>
      </c>
    </row>
    <row r="9" spans="1:12" x14ac:dyDescent="0.2">
      <c r="A9" s="269" t="s">
        <v>297</v>
      </c>
      <c r="B9" s="5" t="s">
        <v>335</v>
      </c>
      <c r="C9" s="270" t="s">
        <v>328</v>
      </c>
      <c r="D9" s="270" t="s">
        <v>336</v>
      </c>
      <c r="E9" s="271">
        <f>+EAI!E15</f>
        <v>2552669</v>
      </c>
      <c r="F9" s="270" t="s">
        <v>330</v>
      </c>
      <c r="G9" s="270" t="s">
        <v>337</v>
      </c>
      <c r="H9" s="271">
        <f>+Memoria!C44+Memoria!C45</f>
        <v>-2552669</v>
      </c>
      <c r="I9" s="272">
        <f>ROUND(E9+H9,2)</f>
        <v>0</v>
      </c>
    </row>
    <row r="10" spans="1:12" ht="12" thickBot="1" x14ac:dyDescent="0.25">
      <c r="A10" s="269" t="s">
        <v>299</v>
      </c>
      <c r="B10" s="5" t="s">
        <v>338</v>
      </c>
      <c r="C10" s="270" t="s">
        <v>328</v>
      </c>
      <c r="D10" s="270" t="s">
        <v>339</v>
      </c>
      <c r="E10" s="271">
        <f>+EAI!F15</f>
        <v>2552669</v>
      </c>
      <c r="F10" s="270" t="s">
        <v>330</v>
      </c>
      <c r="G10" s="270" t="s">
        <v>340</v>
      </c>
      <c r="H10" s="271">
        <f>+Memoria!C45</f>
        <v>-2552669</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301</v>
      </c>
      <c r="B12" s="5" t="s">
        <v>341</v>
      </c>
      <c r="C12" s="270" t="s">
        <v>342</v>
      </c>
      <c r="D12" s="270" t="s">
        <v>343</v>
      </c>
      <c r="E12" s="271">
        <f>+CA!B13</f>
        <v>4702527.05</v>
      </c>
      <c r="F12" s="270" t="s">
        <v>330</v>
      </c>
      <c r="G12" s="270" t="s">
        <v>344</v>
      </c>
      <c r="H12" s="271">
        <f>+Memoria!C50</f>
        <v>-4702527.05</v>
      </c>
      <c r="I12" s="272">
        <f>+ROUND(E12+H12,2)</f>
        <v>0</v>
      </c>
      <c r="L12" s="457"/>
    </row>
    <row r="13" spans="1:12" ht="22.5" x14ac:dyDescent="0.2">
      <c r="A13" s="269" t="s">
        <v>304</v>
      </c>
      <c r="B13" s="5" t="s">
        <v>345</v>
      </c>
      <c r="C13" s="270" t="s">
        <v>342</v>
      </c>
      <c r="D13" s="270" t="s">
        <v>333</v>
      </c>
      <c r="E13" s="271">
        <f>+CA!C13</f>
        <v>893031.74</v>
      </c>
      <c r="F13" s="270" t="s">
        <v>330</v>
      </c>
      <c r="G13" s="270" t="s">
        <v>346</v>
      </c>
      <c r="H13" s="271">
        <f>+Memoria!C52</f>
        <v>-893031.74</v>
      </c>
      <c r="I13" s="272">
        <f>+ROUND(E13+H13,2)</f>
        <v>0</v>
      </c>
    </row>
    <row r="14" spans="1:12" x14ac:dyDescent="0.2">
      <c r="A14" s="269" t="s">
        <v>306</v>
      </c>
      <c r="B14" s="5" t="s">
        <v>347</v>
      </c>
      <c r="C14" s="270" t="s">
        <v>342</v>
      </c>
      <c r="D14" s="270" t="s">
        <v>336</v>
      </c>
      <c r="E14" s="271">
        <f>+CA!E13</f>
        <v>2302626.4499999997</v>
      </c>
      <c r="F14" s="270" t="s">
        <v>330</v>
      </c>
      <c r="G14" s="270" t="s">
        <v>661</v>
      </c>
      <c r="H14" s="271">
        <f>+Memoria!C54+Memoria!C55+Memoria!C56</f>
        <v>2302626.4500000002</v>
      </c>
      <c r="I14" s="272">
        <f>ROUND(E14-H14,2)</f>
        <v>0</v>
      </c>
    </row>
    <row r="15" spans="1:12" x14ac:dyDescent="0.2">
      <c r="A15" s="269" t="s">
        <v>308</v>
      </c>
      <c r="B15" s="5" t="s">
        <v>348</v>
      </c>
      <c r="C15" s="270" t="s">
        <v>342</v>
      </c>
      <c r="D15" s="270" t="s">
        <v>349</v>
      </c>
      <c r="E15" s="271">
        <f>+CA!F13</f>
        <v>2302626.4499999997</v>
      </c>
      <c r="F15" s="270" t="s">
        <v>330</v>
      </c>
      <c r="G15" s="270">
        <v>8.25</v>
      </c>
      <c r="H15" s="271">
        <f>+Memoria!C56</f>
        <v>2302626.4500000002</v>
      </c>
      <c r="I15" s="272">
        <f>ROUND(E15-H15,2)</f>
        <v>0</v>
      </c>
    </row>
    <row r="16" spans="1:12" x14ac:dyDescent="0.2">
      <c r="A16" s="464"/>
      <c r="B16" s="465"/>
      <c r="C16" s="465"/>
      <c r="D16" s="465"/>
      <c r="E16" s="465"/>
      <c r="F16" s="465"/>
      <c r="G16" s="465"/>
      <c r="H16" s="465"/>
      <c r="I16" s="466"/>
    </row>
    <row r="17" spans="1:9" x14ac:dyDescent="0.2">
      <c r="A17" s="269" t="s">
        <v>301</v>
      </c>
      <c r="B17" s="5" t="s">
        <v>350</v>
      </c>
      <c r="C17" s="270" t="s">
        <v>351</v>
      </c>
      <c r="D17" s="270" t="s">
        <v>343</v>
      </c>
      <c r="E17" s="271">
        <f>+CTG!B15</f>
        <v>4702527.05</v>
      </c>
      <c r="F17" s="270" t="s">
        <v>330</v>
      </c>
      <c r="G17" s="270" t="s">
        <v>344</v>
      </c>
      <c r="H17" s="271">
        <f>+Memoria!C50</f>
        <v>-4702527.05</v>
      </c>
      <c r="I17" s="272">
        <f>+ROUND(E17+H17,2)</f>
        <v>0</v>
      </c>
    </row>
    <row r="18" spans="1:9" ht="22.5" x14ac:dyDescent="0.2">
      <c r="A18" s="269" t="s">
        <v>304</v>
      </c>
      <c r="B18" s="5" t="s">
        <v>352</v>
      </c>
      <c r="C18" s="270" t="s">
        <v>351</v>
      </c>
      <c r="D18" s="270" t="s">
        <v>333</v>
      </c>
      <c r="E18" s="271">
        <f>+CTG!C15</f>
        <v>893031.74</v>
      </c>
      <c r="F18" s="270" t="s">
        <v>330</v>
      </c>
      <c r="G18" s="270" t="s">
        <v>346</v>
      </c>
      <c r="H18" s="271">
        <f>+Memoria!C52</f>
        <v>-893031.74</v>
      </c>
      <c r="I18" s="272">
        <f>+ROUND(E18+H18,2)</f>
        <v>0</v>
      </c>
    </row>
    <row r="19" spans="1:9" x14ac:dyDescent="0.2">
      <c r="A19" s="269" t="s">
        <v>306</v>
      </c>
      <c r="B19" s="5" t="s">
        <v>353</v>
      </c>
      <c r="C19" s="270" t="s">
        <v>351</v>
      </c>
      <c r="D19" s="270" t="s">
        <v>336</v>
      </c>
      <c r="E19" s="271">
        <f>+CTG!E15</f>
        <v>2302626.4500000002</v>
      </c>
      <c r="F19" s="270" t="s">
        <v>330</v>
      </c>
      <c r="G19" s="270" t="s">
        <v>661</v>
      </c>
      <c r="H19" s="271">
        <f>+Memoria!C54+Memoria!C55+Memoria!C56</f>
        <v>2302626.4500000002</v>
      </c>
      <c r="I19" s="272">
        <f>+ROUND(E19-H19,2)</f>
        <v>0</v>
      </c>
    </row>
    <row r="20" spans="1:9" x14ac:dyDescent="0.2">
      <c r="A20" s="269" t="s">
        <v>308</v>
      </c>
      <c r="B20" s="5" t="s">
        <v>354</v>
      </c>
      <c r="C20" s="270" t="s">
        <v>351</v>
      </c>
      <c r="D20" s="270" t="s">
        <v>349</v>
      </c>
      <c r="E20" s="271">
        <f>+CTG!F15</f>
        <v>2302626.4500000002</v>
      </c>
      <c r="F20" s="270" t="s">
        <v>330</v>
      </c>
      <c r="G20" s="270">
        <v>8.25</v>
      </c>
      <c r="H20" s="271">
        <f>+Memoria!C56</f>
        <v>2302626.4500000002</v>
      </c>
      <c r="I20" s="272">
        <f>+ROUND(E20-H20,2)</f>
        <v>0</v>
      </c>
    </row>
    <row r="21" spans="1:9" x14ac:dyDescent="0.2">
      <c r="A21" s="464"/>
      <c r="B21" s="465"/>
      <c r="C21" s="465"/>
      <c r="D21" s="465"/>
      <c r="E21" s="465"/>
      <c r="F21" s="465"/>
      <c r="G21" s="465"/>
      <c r="H21" s="465"/>
      <c r="I21" s="466"/>
    </row>
    <row r="22" spans="1:9" x14ac:dyDescent="0.2">
      <c r="A22" s="269" t="s">
        <v>301</v>
      </c>
      <c r="B22" s="5" t="s">
        <v>355</v>
      </c>
      <c r="C22" s="270" t="s">
        <v>356</v>
      </c>
      <c r="D22" s="270" t="s">
        <v>343</v>
      </c>
      <c r="E22" s="271">
        <f>+COG!B76</f>
        <v>4702527.05</v>
      </c>
      <c r="F22" s="270" t="s">
        <v>330</v>
      </c>
      <c r="G22" s="270" t="s">
        <v>344</v>
      </c>
      <c r="H22" s="271">
        <f>+Memoria!C50</f>
        <v>-4702527.05</v>
      </c>
      <c r="I22" s="272">
        <f>+ROUND(E22+H22,2)</f>
        <v>0</v>
      </c>
    </row>
    <row r="23" spans="1:9" ht="22.5" x14ac:dyDescent="0.2">
      <c r="A23" s="269" t="s">
        <v>304</v>
      </c>
      <c r="B23" s="5" t="s">
        <v>357</v>
      </c>
      <c r="C23" s="270" t="s">
        <v>356</v>
      </c>
      <c r="D23" s="270" t="s">
        <v>333</v>
      </c>
      <c r="E23" s="271">
        <f>+COG!C76</f>
        <v>893031.74</v>
      </c>
      <c r="F23" s="270" t="s">
        <v>330</v>
      </c>
      <c r="G23" s="270" t="s">
        <v>346</v>
      </c>
      <c r="H23" s="271">
        <f>+Memoria!C52</f>
        <v>-893031.74</v>
      </c>
      <c r="I23" s="272">
        <f>+ROUND(E23+H23,2)</f>
        <v>0</v>
      </c>
    </row>
    <row r="24" spans="1:9" x14ac:dyDescent="0.2">
      <c r="A24" s="269" t="s">
        <v>306</v>
      </c>
      <c r="B24" s="5" t="s">
        <v>358</v>
      </c>
      <c r="C24" s="270" t="s">
        <v>356</v>
      </c>
      <c r="D24" s="270" t="s">
        <v>336</v>
      </c>
      <c r="E24" s="271">
        <f>+COG!E76</f>
        <v>2302626.4500000002</v>
      </c>
      <c r="F24" s="270" t="s">
        <v>330</v>
      </c>
      <c r="G24" s="270" t="s">
        <v>661</v>
      </c>
      <c r="H24" s="271">
        <f>+Memoria!C54+Memoria!C55+Memoria!C56</f>
        <v>2302626.4500000002</v>
      </c>
      <c r="I24" s="272">
        <f>+ROUND(E24-H24,2)</f>
        <v>0</v>
      </c>
    </row>
    <row r="25" spans="1:9" x14ac:dyDescent="0.2">
      <c r="A25" s="269" t="s">
        <v>308</v>
      </c>
      <c r="B25" s="5" t="s">
        <v>359</v>
      </c>
      <c r="C25" s="270" t="s">
        <v>356</v>
      </c>
      <c r="D25" s="270" t="s">
        <v>349</v>
      </c>
      <c r="E25" s="271">
        <f>+COG!F76</f>
        <v>2302626.4500000002</v>
      </c>
      <c r="F25" s="270" t="s">
        <v>330</v>
      </c>
      <c r="G25" s="270">
        <v>8.25</v>
      </c>
      <c r="H25" s="271">
        <f>+Memoria!C56</f>
        <v>2302626.4500000002</v>
      </c>
      <c r="I25" s="272">
        <f>+ROUND(E25-H25,2)</f>
        <v>0</v>
      </c>
    </row>
    <row r="26" spans="1:9" x14ac:dyDescent="0.2">
      <c r="A26" s="464"/>
      <c r="B26" s="465"/>
      <c r="C26" s="465"/>
      <c r="D26" s="465"/>
      <c r="E26" s="465"/>
      <c r="F26" s="465"/>
      <c r="G26" s="465"/>
      <c r="H26" s="465"/>
      <c r="I26" s="466"/>
    </row>
    <row r="27" spans="1:9" x14ac:dyDescent="0.2">
      <c r="A27" s="269" t="s">
        <v>301</v>
      </c>
      <c r="B27" s="5" t="s">
        <v>360</v>
      </c>
      <c r="C27" s="270" t="s">
        <v>361</v>
      </c>
      <c r="D27" s="270" t="s">
        <v>343</v>
      </c>
      <c r="E27" s="271">
        <f>+CFG!B41</f>
        <v>4702527.05</v>
      </c>
      <c r="F27" s="270" t="s">
        <v>330</v>
      </c>
      <c r="G27" s="270" t="s">
        <v>344</v>
      </c>
      <c r="H27" s="271">
        <f>+Memoria!C50</f>
        <v>-4702527.05</v>
      </c>
      <c r="I27" s="272">
        <f>+ROUND(E27+H27,2)</f>
        <v>0</v>
      </c>
    </row>
    <row r="28" spans="1:9" ht="22.5" x14ac:dyDescent="0.2">
      <c r="A28" s="269" t="s">
        <v>304</v>
      </c>
      <c r="B28" s="5" t="s">
        <v>362</v>
      </c>
      <c r="C28" s="270" t="s">
        <v>361</v>
      </c>
      <c r="D28" s="270" t="s">
        <v>333</v>
      </c>
      <c r="E28" s="271">
        <f>+CFG!C41</f>
        <v>893031.74</v>
      </c>
      <c r="F28" s="270" t="s">
        <v>330</v>
      </c>
      <c r="G28" s="270" t="s">
        <v>346</v>
      </c>
      <c r="H28" s="271">
        <f>+Memoria!C52</f>
        <v>-893031.74</v>
      </c>
      <c r="I28" s="272">
        <f>+ROUND(E28+H28,2)</f>
        <v>0</v>
      </c>
    </row>
    <row r="29" spans="1:9" x14ac:dyDescent="0.2">
      <c r="A29" s="269" t="s">
        <v>306</v>
      </c>
      <c r="B29" s="5" t="s">
        <v>363</v>
      </c>
      <c r="C29" s="270" t="s">
        <v>361</v>
      </c>
      <c r="D29" s="270" t="s">
        <v>336</v>
      </c>
      <c r="E29" s="271">
        <f>+CFG!E41</f>
        <v>2302626.4500000002</v>
      </c>
      <c r="F29" s="270" t="s">
        <v>330</v>
      </c>
      <c r="G29" s="270" t="s">
        <v>661</v>
      </c>
      <c r="H29" s="271">
        <f>+Memoria!C54+Memoria!C55+Memoria!C56</f>
        <v>2302626.4500000002</v>
      </c>
      <c r="I29" s="272">
        <f>+ROUND(E29-H29,2)</f>
        <v>0</v>
      </c>
    </row>
    <row r="30" spans="1:9" x14ac:dyDescent="0.2">
      <c r="A30" s="269" t="s">
        <v>308</v>
      </c>
      <c r="B30" s="5" t="s">
        <v>364</v>
      </c>
      <c r="C30" s="270" t="s">
        <v>361</v>
      </c>
      <c r="D30" s="270" t="s">
        <v>349</v>
      </c>
      <c r="E30" s="271">
        <f>+CFG!F41</f>
        <v>2302626.4500000002</v>
      </c>
      <c r="F30" s="270" t="s">
        <v>330</v>
      </c>
      <c r="G30" s="270">
        <v>8.25</v>
      </c>
      <c r="H30" s="271">
        <f>+Memoria!C56</f>
        <v>2302626.4500000002</v>
      </c>
      <c r="I30" s="272">
        <f>+ROUND(E30-H30,2)</f>
        <v>0</v>
      </c>
    </row>
    <row r="31" spans="1:9" x14ac:dyDescent="0.2">
      <c r="A31" s="464"/>
      <c r="B31" s="465"/>
      <c r="C31" s="465"/>
      <c r="D31" s="465"/>
      <c r="E31" s="465"/>
      <c r="F31" s="465"/>
      <c r="G31" s="465"/>
      <c r="H31" s="465"/>
      <c r="I31" s="466"/>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64"/>
      <c r="B35" s="465"/>
      <c r="C35" s="465"/>
      <c r="D35" s="465"/>
      <c r="E35" s="465"/>
      <c r="F35" s="465"/>
      <c r="G35" s="465"/>
      <c r="H35" s="465"/>
      <c r="I35" s="466"/>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380</v>
      </c>
      <c r="C39" s="270" t="s">
        <v>381</v>
      </c>
      <c r="D39" s="270" t="s">
        <v>343</v>
      </c>
      <c r="E39" s="271">
        <f>+GCP!B36</f>
        <v>4702527.05</v>
      </c>
      <c r="F39" s="270" t="s">
        <v>330</v>
      </c>
      <c r="G39" s="270" t="s">
        <v>344</v>
      </c>
      <c r="H39" s="271">
        <f>+Memoria!C50</f>
        <v>-4702527.05</v>
      </c>
      <c r="I39" s="272">
        <f>+ROUND(E39+H39,2)</f>
        <v>0</v>
      </c>
    </row>
    <row r="40" spans="1:9" ht="22.5" x14ac:dyDescent="0.2">
      <c r="A40" s="269" t="s">
        <v>317</v>
      </c>
      <c r="B40" s="82" t="s">
        <v>382</v>
      </c>
      <c r="C40" s="270" t="s">
        <v>381</v>
      </c>
      <c r="D40" s="270" t="s">
        <v>333</v>
      </c>
      <c r="E40" s="271">
        <f>+GCP!C36</f>
        <v>893031.74</v>
      </c>
      <c r="F40" s="270" t="s">
        <v>330</v>
      </c>
      <c r="G40" s="270" t="s">
        <v>346</v>
      </c>
      <c r="H40" s="271">
        <f>+Memoria!C52</f>
        <v>-893031.74</v>
      </c>
      <c r="I40" s="272">
        <f>+ROUND(E40+H40,2)</f>
        <v>0</v>
      </c>
    </row>
    <row r="41" spans="1:9" x14ac:dyDescent="0.2">
      <c r="A41" s="269" t="s">
        <v>318</v>
      </c>
      <c r="B41" s="82" t="s">
        <v>383</v>
      </c>
      <c r="C41" s="270" t="s">
        <v>381</v>
      </c>
      <c r="D41" s="270" t="s">
        <v>336</v>
      </c>
      <c r="E41" s="271">
        <f>+GCP!E36</f>
        <v>2302626.4500000002</v>
      </c>
      <c r="F41" s="270" t="s">
        <v>330</v>
      </c>
      <c r="G41" s="270" t="s">
        <v>661</v>
      </c>
      <c r="H41" s="271">
        <f>+Memoria!C54+Memoria!C55+Memoria!C56</f>
        <v>2302626.4500000002</v>
      </c>
      <c r="I41" s="272">
        <f t="shared" ref="I41:I42" si="0">ROUND(E41-H41,2)</f>
        <v>0</v>
      </c>
    </row>
    <row r="42" spans="1:9" x14ac:dyDescent="0.2">
      <c r="A42" s="269" t="s">
        <v>319</v>
      </c>
      <c r="B42" s="82" t="s">
        <v>384</v>
      </c>
      <c r="C42" s="270" t="s">
        <v>381</v>
      </c>
      <c r="D42" s="270" t="s">
        <v>349</v>
      </c>
      <c r="E42" s="271">
        <f>+GCP!F36</f>
        <v>2302626.4500000002</v>
      </c>
      <c r="F42" s="270" t="s">
        <v>330</v>
      </c>
      <c r="G42" s="270">
        <v>8.25</v>
      </c>
      <c r="H42" s="271">
        <f>+Memoria!C56</f>
        <v>2302626.4500000002</v>
      </c>
      <c r="I42" s="272">
        <f t="shared" si="0"/>
        <v>0</v>
      </c>
    </row>
    <row r="43" spans="1:9" x14ac:dyDescent="0.2">
      <c r="A43" s="464"/>
      <c r="B43" s="465"/>
      <c r="C43" s="465"/>
      <c r="D43" s="465"/>
      <c r="E43" s="465"/>
      <c r="F43" s="465"/>
      <c r="G43" s="465"/>
      <c r="H43" s="465"/>
      <c r="I43" s="466"/>
    </row>
    <row r="44" spans="1:9" x14ac:dyDescent="0.2">
      <c r="A44" s="269" t="s">
        <v>316</v>
      </c>
      <c r="B44" s="82" t="s">
        <v>385</v>
      </c>
      <c r="C44" s="270" t="s">
        <v>381</v>
      </c>
      <c r="D44" s="270" t="s">
        <v>343</v>
      </c>
      <c r="E44" s="271">
        <f>+GCP!B36</f>
        <v>4702527.05</v>
      </c>
      <c r="F44" s="270" t="s">
        <v>342</v>
      </c>
      <c r="G44" s="270" t="s">
        <v>343</v>
      </c>
      <c r="H44" s="271">
        <f>+CA!B13</f>
        <v>4702527.05</v>
      </c>
      <c r="I44" s="272">
        <f>+ROUND(E44-H44,2)</f>
        <v>0</v>
      </c>
    </row>
    <row r="45" spans="1:9" ht="22.5" x14ac:dyDescent="0.2">
      <c r="A45" s="269" t="s">
        <v>317</v>
      </c>
      <c r="B45" s="82" t="s">
        <v>386</v>
      </c>
      <c r="C45" s="270" t="s">
        <v>381</v>
      </c>
      <c r="D45" s="270" t="s">
        <v>333</v>
      </c>
      <c r="E45" s="271">
        <f>+GCP!C36</f>
        <v>893031.74</v>
      </c>
      <c r="F45" s="270" t="s">
        <v>342</v>
      </c>
      <c r="G45" s="270" t="s">
        <v>333</v>
      </c>
      <c r="H45" s="271">
        <f>+CA!C13</f>
        <v>893031.74</v>
      </c>
      <c r="I45" s="272">
        <f>+ROUND(E45-H45,2)</f>
        <v>0</v>
      </c>
    </row>
    <row r="46" spans="1:9" x14ac:dyDescent="0.2">
      <c r="A46" s="269" t="s">
        <v>318</v>
      </c>
      <c r="B46" s="82" t="s">
        <v>387</v>
      </c>
      <c r="C46" s="270" t="s">
        <v>381</v>
      </c>
      <c r="D46" s="270" t="s">
        <v>336</v>
      </c>
      <c r="E46" s="271">
        <f>+GCP!E36</f>
        <v>2302626.4500000002</v>
      </c>
      <c r="F46" s="270" t="s">
        <v>342</v>
      </c>
      <c r="G46" s="270" t="s">
        <v>336</v>
      </c>
      <c r="H46" s="271">
        <f>+CA!E13</f>
        <v>2302626.4499999997</v>
      </c>
      <c r="I46" s="272">
        <f>ROUND(E46-H46,2)</f>
        <v>0</v>
      </c>
    </row>
    <row r="47" spans="1:9" x14ac:dyDescent="0.2">
      <c r="A47" s="269" t="s">
        <v>319</v>
      </c>
      <c r="B47" s="82" t="s">
        <v>388</v>
      </c>
      <c r="C47" s="270" t="s">
        <v>381</v>
      </c>
      <c r="D47" s="270" t="s">
        <v>349</v>
      </c>
      <c r="E47" s="271">
        <f>+GCP!F36</f>
        <v>2302626.4500000002</v>
      </c>
      <c r="F47" s="270" t="s">
        <v>342</v>
      </c>
      <c r="G47" s="270" t="s">
        <v>349</v>
      </c>
      <c r="H47" s="271">
        <f>+CA!F13</f>
        <v>2302626.4499999997</v>
      </c>
      <c r="I47" s="272">
        <f>ROUND(E47-H47,2)</f>
        <v>0</v>
      </c>
    </row>
    <row r="48" spans="1:9" x14ac:dyDescent="0.2">
      <c r="A48" s="464"/>
      <c r="B48" s="465"/>
      <c r="C48" s="465"/>
      <c r="D48" s="465"/>
      <c r="E48" s="465"/>
      <c r="F48" s="465"/>
      <c r="G48" s="465"/>
      <c r="H48" s="465"/>
      <c r="I48" s="466"/>
    </row>
    <row r="49" spans="1:9" x14ac:dyDescent="0.2">
      <c r="A49" s="269" t="s">
        <v>316</v>
      </c>
      <c r="B49" s="82" t="s">
        <v>389</v>
      </c>
      <c r="C49" s="270" t="s">
        <v>381</v>
      </c>
      <c r="D49" s="270" t="s">
        <v>343</v>
      </c>
      <c r="E49" s="271">
        <f>+GCP!B36</f>
        <v>4702527.05</v>
      </c>
      <c r="F49" s="270" t="s">
        <v>351</v>
      </c>
      <c r="G49" s="270" t="s">
        <v>343</v>
      </c>
      <c r="H49" s="271">
        <f>+CTG!B15</f>
        <v>4702527.05</v>
      </c>
      <c r="I49" s="272">
        <f>+ROUND(E49-H49,2)</f>
        <v>0</v>
      </c>
    </row>
    <row r="50" spans="1:9" ht="22.5" x14ac:dyDescent="0.2">
      <c r="A50" s="269" t="s">
        <v>317</v>
      </c>
      <c r="B50" s="82" t="s">
        <v>390</v>
      </c>
      <c r="C50" s="270" t="s">
        <v>381</v>
      </c>
      <c r="D50" s="270" t="s">
        <v>333</v>
      </c>
      <c r="E50" s="271">
        <f>+GCP!C36</f>
        <v>893031.74</v>
      </c>
      <c r="F50" s="270" t="s">
        <v>351</v>
      </c>
      <c r="G50" s="270" t="s">
        <v>333</v>
      </c>
      <c r="H50" s="271">
        <f>+CTG!C15</f>
        <v>893031.74</v>
      </c>
      <c r="I50" s="272">
        <f>+ROUND(E50-H50,2)</f>
        <v>0</v>
      </c>
    </row>
    <row r="51" spans="1:9" x14ac:dyDescent="0.2">
      <c r="A51" s="269" t="s">
        <v>318</v>
      </c>
      <c r="B51" s="82" t="s">
        <v>391</v>
      </c>
      <c r="C51" s="270" t="s">
        <v>381</v>
      </c>
      <c r="D51" s="270" t="s">
        <v>336</v>
      </c>
      <c r="E51" s="271">
        <f>+GCP!E36</f>
        <v>2302626.4500000002</v>
      </c>
      <c r="F51" s="270" t="s">
        <v>351</v>
      </c>
      <c r="G51" s="270" t="s">
        <v>336</v>
      </c>
      <c r="H51" s="271">
        <f>+CTG!E15</f>
        <v>2302626.4500000002</v>
      </c>
      <c r="I51" s="272">
        <f>ROUND(E51-H51,2)</f>
        <v>0</v>
      </c>
    </row>
    <row r="52" spans="1:9" x14ac:dyDescent="0.2">
      <c r="A52" s="269" t="s">
        <v>319</v>
      </c>
      <c r="B52" s="82" t="s">
        <v>392</v>
      </c>
      <c r="C52" s="270" t="s">
        <v>381</v>
      </c>
      <c r="D52" s="270" t="s">
        <v>349</v>
      </c>
      <c r="E52" s="271">
        <f>+GCP!F36</f>
        <v>2302626.4500000002</v>
      </c>
      <c r="F52" s="270" t="s">
        <v>351</v>
      </c>
      <c r="G52" s="270" t="s">
        <v>349</v>
      </c>
      <c r="H52" s="271">
        <f>+CTG!F15</f>
        <v>2302626.4500000002</v>
      </c>
      <c r="I52" s="272">
        <f>ROUND(E52-H52,2)</f>
        <v>0</v>
      </c>
    </row>
    <row r="53" spans="1:9" x14ac:dyDescent="0.2">
      <c r="A53" s="464"/>
      <c r="B53" s="465"/>
      <c r="C53" s="465"/>
      <c r="D53" s="465"/>
      <c r="E53" s="465"/>
      <c r="F53" s="465"/>
      <c r="G53" s="465"/>
      <c r="H53" s="465"/>
      <c r="I53" s="466"/>
    </row>
    <row r="54" spans="1:9" x14ac:dyDescent="0.2">
      <c r="A54" s="269" t="s">
        <v>316</v>
      </c>
      <c r="B54" s="82" t="s">
        <v>393</v>
      </c>
      <c r="C54" s="270" t="s">
        <v>381</v>
      </c>
      <c r="D54" s="270" t="s">
        <v>343</v>
      </c>
      <c r="E54" s="271">
        <f>+GCP!B36</f>
        <v>4702527.05</v>
      </c>
      <c r="F54" s="270" t="s">
        <v>356</v>
      </c>
      <c r="G54" s="270" t="s">
        <v>343</v>
      </c>
      <c r="H54" s="271">
        <f>+COG!B76</f>
        <v>4702527.05</v>
      </c>
      <c r="I54" s="272">
        <f>+ROUND(E54-H54,2)</f>
        <v>0</v>
      </c>
    </row>
    <row r="55" spans="1:9" ht="22.5" x14ac:dyDescent="0.2">
      <c r="A55" s="269" t="s">
        <v>317</v>
      </c>
      <c r="B55" s="82" t="s">
        <v>394</v>
      </c>
      <c r="C55" s="270" t="s">
        <v>381</v>
      </c>
      <c r="D55" s="270" t="s">
        <v>333</v>
      </c>
      <c r="E55" s="271">
        <f>+GCP!C36</f>
        <v>893031.74</v>
      </c>
      <c r="F55" s="270" t="s">
        <v>356</v>
      </c>
      <c r="G55" s="270" t="s">
        <v>333</v>
      </c>
      <c r="H55" s="271">
        <f>+COG!C76</f>
        <v>893031.74</v>
      </c>
      <c r="I55" s="272">
        <f>+ROUND(E55-H55,2)</f>
        <v>0</v>
      </c>
    </row>
    <row r="56" spans="1:9" x14ac:dyDescent="0.2">
      <c r="A56" s="269" t="s">
        <v>318</v>
      </c>
      <c r="B56" s="82" t="s">
        <v>395</v>
      </c>
      <c r="C56" s="270" t="s">
        <v>381</v>
      </c>
      <c r="D56" s="270" t="s">
        <v>336</v>
      </c>
      <c r="E56" s="271">
        <f>+GCP!E36</f>
        <v>2302626.4500000002</v>
      </c>
      <c r="F56" s="270" t="s">
        <v>356</v>
      </c>
      <c r="G56" s="270" t="s">
        <v>336</v>
      </c>
      <c r="H56" s="271">
        <f>+CTG!E15</f>
        <v>2302626.4500000002</v>
      </c>
      <c r="I56" s="272">
        <f>ROUND(E56-H56,2)</f>
        <v>0</v>
      </c>
    </row>
    <row r="57" spans="1:9" x14ac:dyDescent="0.2">
      <c r="A57" s="269" t="s">
        <v>319</v>
      </c>
      <c r="B57" s="82" t="s">
        <v>396</v>
      </c>
      <c r="C57" s="270" t="s">
        <v>381</v>
      </c>
      <c r="D57" s="270" t="s">
        <v>349</v>
      </c>
      <c r="E57" s="271">
        <f>+GCP!F36</f>
        <v>2302626.4500000002</v>
      </c>
      <c r="F57" s="270" t="s">
        <v>356</v>
      </c>
      <c r="G57" s="270" t="s">
        <v>349</v>
      </c>
      <c r="H57" s="271">
        <f>+COG!F76</f>
        <v>2302626.4500000002</v>
      </c>
      <c r="I57" s="272">
        <f>ROUND(E57-H57,2)</f>
        <v>0</v>
      </c>
    </row>
    <row r="58" spans="1:9" x14ac:dyDescent="0.2">
      <c r="A58" s="464"/>
      <c r="B58" s="465"/>
      <c r="C58" s="465"/>
      <c r="D58" s="465"/>
      <c r="E58" s="465"/>
      <c r="F58" s="465"/>
      <c r="G58" s="465"/>
      <c r="H58" s="465"/>
      <c r="I58" s="466"/>
    </row>
    <row r="59" spans="1:9" x14ac:dyDescent="0.2">
      <c r="A59" s="269" t="s">
        <v>316</v>
      </c>
      <c r="B59" s="82" t="s">
        <v>397</v>
      </c>
      <c r="C59" s="270" t="s">
        <v>381</v>
      </c>
      <c r="D59" s="270" t="s">
        <v>343</v>
      </c>
      <c r="E59" s="271">
        <f>+GCP!B36</f>
        <v>4702527.05</v>
      </c>
      <c r="F59" s="270" t="s">
        <v>361</v>
      </c>
      <c r="G59" s="270" t="s">
        <v>343</v>
      </c>
      <c r="H59" s="271">
        <f>+CFG!B41</f>
        <v>4702527.05</v>
      </c>
      <c r="I59" s="272">
        <f>+ROUND(E59-H59,2)</f>
        <v>0</v>
      </c>
    </row>
    <row r="60" spans="1:9" ht="22.5" x14ac:dyDescent="0.2">
      <c r="A60" s="269" t="s">
        <v>317</v>
      </c>
      <c r="B60" s="82" t="s">
        <v>398</v>
      </c>
      <c r="C60" s="270" t="s">
        <v>381</v>
      </c>
      <c r="D60" s="270" t="s">
        <v>333</v>
      </c>
      <c r="E60" s="271">
        <f>+GCP!C36</f>
        <v>893031.74</v>
      </c>
      <c r="F60" s="270" t="s">
        <v>361</v>
      </c>
      <c r="G60" s="270" t="s">
        <v>333</v>
      </c>
      <c r="H60" s="271">
        <f>+CFG!C41</f>
        <v>893031.74</v>
      </c>
      <c r="I60" s="272">
        <f>+ROUND(E60-H60,2)</f>
        <v>0</v>
      </c>
    </row>
    <row r="61" spans="1:9" x14ac:dyDescent="0.2">
      <c r="A61" s="269" t="s">
        <v>318</v>
      </c>
      <c r="B61" s="82" t="s">
        <v>399</v>
      </c>
      <c r="C61" s="270" t="s">
        <v>381</v>
      </c>
      <c r="D61" s="270" t="s">
        <v>336</v>
      </c>
      <c r="E61" s="271">
        <f>+GCP!E36</f>
        <v>2302626.4500000002</v>
      </c>
      <c r="F61" s="270" t="s">
        <v>361</v>
      </c>
      <c r="G61" s="270" t="s">
        <v>336</v>
      </c>
      <c r="H61" s="271">
        <f>+CFG!E41</f>
        <v>2302626.4500000002</v>
      </c>
      <c r="I61" s="272">
        <f>ROUND(E61-H61,2)</f>
        <v>0</v>
      </c>
    </row>
    <row r="62" spans="1:9" x14ac:dyDescent="0.2">
      <c r="A62" s="273" t="s">
        <v>319</v>
      </c>
      <c r="B62" s="274" t="s">
        <v>400</v>
      </c>
      <c r="C62" s="275" t="s">
        <v>381</v>
      </c>
      <c r="D62" s="275" t="s">
        <v>349</v>
      </c>
      <c r="E62" s="276">
        <f>+GCP!F36</f>
        <v>2302626.4500000002</v>
      </c>
      <c r="F62" s="275" t="s">
        <v>361</v>
      </c>
      <c r="G62" s="275" t="s">
        <v>349</v>
      </c>
      <c r="H62" s="276">
        <f>+CFG!F41</f>
        <v>2302626.4500000002</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66169</v>
      </c>
      <c r="C4" s="14">
        <f>SUM(C5:C11)</f>
        <v>184267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66169</v>
      </c>
      <c r="C11" s="16">
        <v>184267</v>
      </c>
      <c r="D11" s="17">
        <v>4170</v>
      </c>
    </row>
    <row r="12" spans="1:4" ht="11.25" customHeight="1" x14ac:dyDescent="0.25">
      <c r="A12" s="15"/>
      <c r="B12" s="11"/>
      <c r="C12" s="11"/>
      <c r="D12" s="12"/>
    </row>
    <row r="13" spans="1:4" ht="33.75" x14ac:dyDescent="0.25">
      <c r="A13" s="13" t="s">
        <v>111</v>
      </c>
      <c r="B13" s="14">
        <f>SUM(B14:B15)</f>
        <v>2486500</v>
      </c>
      <c r="C13" s="14">
        <f>SUM(C14:C15)</f>
        <v>5116534.75</v>
      </c>
      <c r="D13" s="12"/>
    </row>
    <row r="14" spans="1:4" ht="22.5" x14ac:dyDescent="0.2">
      <c r="A14" s="15" t="s">
        <v>112</v>
      </c>
      <c r="B14" s="16">
        <v>0</v>
      </c>
      <c r="C14" s="16">
        <v>0</v>
      </c>
      <c r="D14" s="17">
        <v>4210</v>
      </c>
    </row>
    <row r="15" spans="1:4" ht="11.25" customHeight="1" x14ac:dyDescent="0.2">
      <c r="A15" s="15" t="s">
        <v>113</v>
      </c>
      <c r="B15" s="16">
        <v>2486500</v>
      </c>
      <c r="C15" s="16">
        <v>5116534.75</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2552669</v>
      </c>
      <c r="C24" s="19">
        <f>SUM(C4+C13+C17)</f>
        <v>5300801.75</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2269626.4500000002</v>
      </c>
      <c r="C27" s="14">
        <f>SUM(C28:C30)</f>
        <v>5408268.3300000001</v>
      </c>
      <c r="D27" s="12"/>
    </row>
    <row r="28" spans="1:5" ht="11.25" customHeight="1" x14ac:dyDescent="0.2">
      <c r="A28" s="15" t="s">
        <v>123</v>
      </c>
      <c r="B28" s="16">
        <v>1518993.16</v>
      </c>
      <c r="C28" s="16">
        <v>3176759.5</v>
      </c>
      <c r="D28" s="17">
        <v>5110</v>
      </c>
    </row>
    <row r="29" spans="1:5" ht="11.25" customHeight="1" x14ac:dyDescent="0.2">
      <c r="A29" s="15" t="s">
        <v>124</v>
      </c>
      <c r="B29" s="16">
        <v>189690.52</v>
      </c>
      <c r="C29" s="16">
        <v>495496.19</v>
      </c>
      <c r="D29" s="17">
        <v>5120</v>
      </c>
    </row>
    <row r="30" spans="1:5" ht="11.25" customHeight="1" x14ac:dyDescent="0.2">
      <c r="A30" s="15" t="s">
        <v>125</v>
      </c>
      <c r="B30" s="16">
        <v>560942.77</v>
      </c>
      <c r="C30" s="16">
        <v>1736012.64</v>
      </c>
      <c r="D30" s="17">
        <v>5130</v>
      </c>
    </row>
    <row r="31" spans="1:5" ht="11.25" customHeight="1" x14ac:dyDescent="0.25">
      <c r="A31" s="15"/>
      <c r="B31" s="11"/>
      <c r="C31" s="11"/>
      <c r="D31" s="12"/>
    </row>
    <row r="32" spans="1:5" ht="11.25" customHeight="1" x14ac:dyDescent="0.25">
      <c r="A32" s="13" t="s">
        <v>126</v>
      </c>
      <c r="B32" s="14">
        <f>SUM(B33:B41)</f>
        <v>0</v>
      </c>
      <c r="C32" s="14">
        <f>SUM(C33:C41)</f>
        <v>68100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68100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170463.59</v>
      </c>
      <c r="D55" s="12"/>
    </row>
    <row r="56" spans="1:4" ht="11.25" customHeight="1" x14ac:dyDescent="0.2">
      <c r="A56" s="15" t="s">
        <v>147</v>
      </c>
      <c r="B56" s="16">
        <v>0</v>
      </c>
      <c r="C56" s="16">
        <v>170463.59</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2269626.4500000002</v>
      </c>
      <c r="C66" s="19">
        <f>C63+C55+C48+C43+C32+C27</f>
        <v>5646831.9199999999</v>
      </c>
      <c r="D66" s="12"/>
      <c r="E66" s="12"/>
    </row>
    <row r="67" spans="1:8" ht="11.25" customHeight="1" x14ac:dyDescent="0.25">
      <c r="A67" s="20"/>
      <c r="B67" s="11"/>
      <c r="C67" s="11"/>
      <c r="D67" s="12"/>
      <c r="E67" s="12"/>
    </row>
    <row r="68" spans="1:8" s="12" customFormat="1" x14ac:dyDescent="0.25">
      <c r="A68" s="10" t="s">
        <v>156</v>
      </c>
      <c r="B68" s="14">
        <f>B24-B66</f>
        <v>283042.54999999981</v>
      </c>
      <c r="C68" s="14">
        <f>C24-C66</f>
        <v>-346030.16999999993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322709.40000000002</v>
      </c>
      <c r="C5" s="26">
        <v>85978.34</v>
      </c>
      <c r="D5" s="15" t="s">
        <v>163</v>
      </c>
      <c r="E5" s="26">
        <v>20832.87</v>
      </c>
      <c r="F5" s="27">
        <v>34144.36</v>
      </c>
    </row>
    <row r="6" spans="1:6" x14ac:dyDescent="0.25">
      <c r="A6" s="15" t="s">
        <v>164</v>
      </c>
      <c r="B6" s="26">
        <v>13918.44</v>
      </c>
      <c r="C6" s="26">
        <v>13918.44</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336627.84</v>
      </c>
      <c r="C13" s="28">
        <f>SUM(C5:C11)</f>
        <v>99896.78</v>
      </c>
      <c r="D13" s="18"/>
      <c r="E13" s="29"/>
      <c r="F13" s="30"/>
    </row>
    <row r="14" spans="1:6" x14ac:dyDescent="0.25">
      <c r="A14" s="20"/>
      <c r="B14" s="25"/>
      <c r="C14" s="25"/>
      <c r="D14" s="13" t="s">
        <v>178</v>
      </c>
      <c r="E14" s="14">
        <f>SUM(E5:E12)</f>
        <v>20832.87</v>
      </c>
      <c r="F14" s="19">
        <f>SUM(F5:F12)</f>
        <v>34144.36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2524912.29</v>
      </c>
      <c r="C19" s="26">
        <v>2491912.29</v>
      </c>
      <c r="D19" s="15" t="s">
        <v>187</v>
      </c>
      <c r="E19" s="26">
        <v>0</v>
      </c>
      <c r="F19" s="27">
        <v>0</v>
      </c>
    </row>
    <row r="20" spans="1:6" x14ac:dyDescent="0.25">
      <c r="A20" s="15" t="s">
        <v>188</v>
      </c>
      <c r="B20" s="26">
        <v>34636.050000000003</v>
      </c>
      <c r="C20" s="26">
        <v>34636.050000000003</v>
      </c>
      <c r="D20" s="15" t="s">
        <v>189</v>
      </c>
      <c r="E20" s="26">
        <v>0</v>
      </c>
      <c r="F20" s="27">
        <v>0</v>
      </c>
    </row>
    <row r="21" spans="1:6" ht="22.5" x14ac:dyDescent="0.25">
      <c r="A21" s="15" t="s">
        <v>190</v>
      </c>
      <c r="B21" s="26">
        <v>-2223902.06</v>
      </c>
      <c r="C21" s="26">
        <v>-2223902.06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335646.2799999998</v>
      </c>
      <c r="C26" s="28">
        <f>SUM(C16:C24)</f>
        <v>302646.2799999998</v>
      </c>
      <c r="D26" s="31" t="s">
        <v>198</v>
      </c>
      <c r="E26" s="28">
        <f>SUM(E24+E14)</f>
        <v>20832.87</v>
      </c>
      <c r="F26" s="19">
        <f>SUM(F14+F24)</f>
        <v>34144.36</v>
      </c>
    </row>
    <row r="27" spans="1:6" x14ac:dyDescent="0.25">
      <c r="A27" s="20"/>
      <c r="B27" s="25"/>
      <c r="C27" s="25"/>
      <c r="D27" s="20"/>
      <c r="E27" s="25"/>
      <c r="F27" s="30"/>
    </row>
    <row r="28" spans="1:6" x14ac:dyDescent="0.25">
      <c r="A28" s="13" t="s">
        <v>199</v>
      </c>
      <c r="B28" s="28">
        <f>B13+B26</f>
        <v>672274.11999999988</v>
      </c>
      <c r="C28" s="28">
        <f>C13+C26</f>
        <v>402543.05999999982</v>
      </c>
      <c r="D28" s="10" t="s">
        <v>200</v>
      </c>
      <c r="E28" s="25"/>
      <c r="F28" s="25"/>
    </row>
    <row r="29" spans="1:6" x14ac:dyDescent="0.25">
      <c r="A29" s="32"/>
      <c r="B29" s="33"/>
      <c r="C29" s="30"/>
      <c r="D29" s="20"/>
      <c r="E29" s="25"/>
      <c r="F29" s="25"/>
    </row>
    <row r="30" spans="1:6" x14ac:dyDescent="0.25">
      <c r="A30" s="32"/>
      <c r="B30" s="33"/>
      <c r="C30" s="30"/>
      <c r="D30" s="13" t="s">
        <v>201</v>
      </c>
      <c r="E30" s="28">
        <f>SUM(E31:E33)</f>
        <v>334851.05</v>
      </c>
      <c r="F30" s="19">
        <f>SUM(F31:F33)</f>
        <v>334851.05</v>
      </c>
    </row>
    <row r="31" spans="1:6" x14ac:dyDescent="0.25">
      <c r="A31" s="32"/>
      <c r="B31" s="33"/>
      <c r="C31" s="30"/>
      <c r="D31" s="15" t="s">
        <v>138</v>
      </c>
      <c r="E31" s="26">
        <v>334851.05</v>
      </c>
      <c r="F31" s="27">
        <v>334851.05</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316590.2</v>
      </c>
      <c r="F35" s="19">
        <f>SUM(F36:F40)</f>
        <v>33547.650000000023</v>
      </c>
    </row>
    <row r="36" spans="1:6" x14ac:dyDescent="0.25">
      <c r="A36" s="32"/>
      <c r="B36" s="33"/>
      <c r="C36" s="30"/>
      <c r="D36" s="15" t="s">
        <v>205</v>
      </c>
      <c r="E36" s="26">
        <v>283042.55</v>
      </c>
      <c r="F36" s="27">
        <v>-346030.17</v>
      </c>
    </row>
    <row r="37" spans="1:6" x14ac:dyDescent="0.25">
      <c r="A37" s="32"/>
      <c r="B37" s="33"/>
      <c r="C37" s="30"/>
      <c r="D37" s="15" t="s">
        <v>206</v>
      </c>
      <c r="E37" s="26">
        <v>33547.65</v>
      </c>
      <c r="F37" s="27">
        <v>379577.82</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651441.25</v>
      </c>
      <c r="F46" s="19">
        <f>SUM(F42+F35+F30)</f>
        <v>368398.7</v>
      </c>
    </row>
    <row r="47" spans="1:6" x14ac:dyDescent="0.25">
      <c r="A47" s="32"/>
      <c r="B47" s="33"/>
      <c r="C47" s="30"/>
      <c r="D47" s="20"/>
      <c r="E47" s="25"/>
      <c r="F47" s="30"/>
    </row>
    <row r="48" spans="1:6" x14ac:dyDescent="0.25">
      <c r="A48" s="32"/>
      <c r="B48" s="33"/>
      <c r="C48" s="30"/>
      <c r="D48" s="13" t="s">
        <v>214</v>
      </c>
      <c r="E48" s="28">
        <f>E46+E26</f>
        <v>672274.12</v>
      </c>
      <c r="F48" s="28">
        <f>F46+F26</f>
        <v>402543.06</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334851.05</v>
      </c>
      <c r="C4" s="40"/>
      <c r="D4" s="40"/>
      <c r="E4" s="40"/>
      <c r="F4" s="42">
        <f>SUM(B4:E4)</f>
        <v>334851.05</v>
      </c>
    </row>
    <row r="5" spans="1:6" ht="11.25" customHeight="1" x14ac:dyDescent="0.2">
      <c r="A5" s="43" t="s">
        <v>138</v>
      </c>
      <c r="B5" s="44">
        <v>334851.05</v>
      </c>
      <c r="C5" s="40"/>
      <c r="D5" s="40"/>
      <c r="E5" s="40"/>
      <c r="F5" s="42">
        <f>SUM(B5:E5)</f>
        <v>334851.05</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665</v>
      </c>
      <c r="B9" s="40"/>
      <c r="C9" s="42">
        <f>SUM(C10:C14)</f>
        <v>379577.82</v>
      </c>
      <c r="D9" s="42">
        <f>D10</f>
        <v>-346030.17</v>
      </c>
      <c r="E9" s="40"/>
      <c r="F9" s="42">
        <f t="shared" ref="F9:F14" si="0">SUM(B9:E9)</f>
        <v>33547.650000000023</v>
      </c>
    </row>
    <row r="10" spans="1:6" ht="11.25" customHeight="1" x14ac:dyDescent="0.2">
      <c r="A10" s="43" t="s">
        <v>156</v>
      </c>
      <c r="B10" s="40"/>
      <c r="C10" s="40"/>
      <c r="D10" s="44">
        <v>-346030.17</v>
      </c>
      <c r="E10" s="40"/>
      <c r="F10" s="42">
        <f t="shared" si="0"/>
        <v>-346030.17</v>
      </c>
    </row>
    <row r="11" spans="1:6" ht="11.25" customHeight="1" x14ac:dyDescent="0.2">
      <c r="A11" s="43" t="s">
        <v>206</v>
      </c>
      <c r="B11" s="40"/>
      <c r="C11" s="44">
        <v>379577.82</v>
      </c>
      <c r="D11" s="40"/>
      <c r="E11" s="40"/>
      <c r="F11" s="42">
        <f t="shared" si="0"/>
        <v>379577.82</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334851.05</v>
      </c>
      <c r="C20" s="42">
        <f>C9</f>
        <v>379577.82</v>
      </c>
      <c r="D20" s="42">
        <f>D9</f>
        <v>-346030.17</v>
      </c>
      <c r="E20" s="42">
        <f>E16</f>
        <v>0</v>
      </c>
      <c r="F20" s="42">
        <f>SUM(B20:E20)</f>
        <v>368398.7</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-346030.17</v>
      </c>
      <c r="D27" s="42">
        <f>SUM(D28:D32)</f>
        <v>629072.72</v>
      </c>
      <c r="E27" s="40"/>
      <c r="F27" s="42">
        <f t="shared" ref="F27:F32" si="1">SUM(B27:E27)</f>
        <v>283042.55</v>
      </c>
    </row>
    <row r="28" spans="1:6" ht="11.25" customHeight="1" x14ac:dyDescent="0.2">
      <c r="A28" s="43" t="s">
        <v>156</v>
      </c>
      <c r="B28" s="40"/>
      <c r="C28" s="40"/>
      <c r="D28" s="44">
        <v>283042.55</v>
      </c>
      <c r="E28" s="40"/>
      <c r="F28" s="42">
        <f t="shared" si="1"/>
        <v>283042.55</v>
      </c>
    </row>
    <row r="29" spans="1:6" ht="11.25" customHeight="1" x14ac:dyDescent="0.2">
      <c r="A29" s="43" t="s">
        <v>206</v>
      </c>
      <c r="B29" s="40"/>
      <c r="C29" s="44">
        <v>-346030.17</v>
      </c>
      <c r="D29" s="44">
        <v>346030.17</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334851.05</v>
      </c>
      <c r="C38" s="48">
        <f>+C20+C27</f>
        <v>33547.650000000023</v>
      </c>
      <c r="D38" s="48">
        <f>D20+D27</f>
        <v>283042.55</v>
      </c>
      <c r="E38" s="48">
        <f>+E20+E34</f>
        <v>0</v>
      </c>
      <c r="F38" s="48">
        <f>SUM(B38:E38)</f>
        <v>651441.25</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269731.06</v>
      </c>
    </row>
    <row r="4" spans="1:3" ht="11.25" customHeight="1" x14ac:dyDescent="0.25">
      <c r="A4" s="55" t="s">
        <v>160</v>
      </c>
      <c r="B4" s="54">
        <f>SUM(B5:B11)</f>
        <v>0</v>
      </c>
      <c r="C4" s="54">
        <f>SUM(C5:C11)</f>
        <v>236731.06</v>
      </c>
    </row>
    <row r="5" spans="1:3" ht="11.25" customHeight="1" x14ac:dyDescent="0.25">
      <c r="A5" s="56" t="s">
        <v>162</v>
      </c>
      <c r="B5" s="57">
        <v>0</v>
      </c>
      <c r="C5" s="57">
        <v>236731.06</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33000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33000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13311.49</v>
      </c>
    </row>
    <row r="25" spans="1:3" ht="11.25" customHeight="1" x14ac:dyDescent="0.25">
      <c r="A25" s="55" t="s">
        <v>161</v>
      </c>
      <c r="B25" s="54">
        <f>SUM(B26:B33)</f>
        <v>0</v>
      </c>
      <c r="C25" s="54">
        <f>SUM(C26:C33)</f>
        <v>13311.49</v>
      </c>
    </row>
    <row r="26" spans="1:3" ht="11.25" customHeight="1" x14ac:dyDescent="0.25">
      <c r="A26" s="56" t="s">
        <v>163</v>
      </c>
      <c r="B26" s="57">
        <v>0</v>
      </c>
      <c r="C26" s="57">
        <v>13311.49</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629072.72</v>
      </c>
      <c r="C43" s="54">
        <f>C45+C50+C57</f>
        <v>346030.17</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629072.72</v>
      </c>
      <c r="C50" s="54">
        <f>SUM(C51:C55)</f>
        <v>346030.17</v>
      </c>
    </row>
    <row r="51" spans="1:3" ht="11.25" customHeight="1" x14ac:dyDescent="0.25">
      <c r="A51" s="56" t="s">
        <v>205</v>
      </c>
      <c r="B51" s="57">
        <v>629072.72</v>
      </c>
      <c r="C51" s="57">
        <v>0</v>
      </c>
    </row>
    <row r="52" spans="1:3" ht="11.25" customHeight="1" x14ac:dyDescent="0.25">
      <c r="A52" s="56" t="s">
        <v>206</v>
      </c>
      <c r="B52" s="57">
        <v>0</v>
      </c>
      <c r="C52" s="57">
        <v>346030.17</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2552669</v>
      </c>
      <c r="C4" s="62">
        <f>SUM(C5:C14)</f>
        <v>5300801.75</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66169</v>
      </c>
      <c r="C11" s="34">
        <v>184267</v>
      </c>
      <c r="D11" s="64">
        <v>700000</v>
      </c>
    </row>
    <row r="12" spans="1:22" ht="22.5" x14ac:dyDescent="0.2">
      <c r="A12" s="56" t="s">
        <v>112</v>
      </c>
      <c r="B12" s="34">
        <v>0</v>
      </c>
      <c r="C12" s="34">
        <v>0</v>
      </c>
      <c r="D12" s="64">
        <v>800000</v>
      </c>
    </row>
    <row r="13" spans="1:22" ht="11.25" customHeight="1" x14ac:dyDescent="0.2">
      <c r="A13" s="56" t="s">
        <v>113</v>
      </c>
      <c r="B13" s="34">
        <v>2486500</v>
      </c>
      <c r="C13" s="34">
        <v>5116534.75</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2269626.4500000002</v>
      </c>
      <c r="C16" s="62">
        <f>SUM(C17:C32)</f>
        <v>5476368.3300000001</v>
      </c>
      <c r="D16" s="63" t="s">
        <v>223</v>
      </c>
    </row>
    <row r="17" spans="1:4" ht="11.25" customHeight="1" x14ac:dyDescent="0.2">
      <c r="A17" s="56" t="s">
        <v>123</v>
      </c>
      <c r="B17" s="34">
        <v>1518993.16</v>
      </c>
      <c r="C17" s="34">
        <v>3176759.5</v>
      </c>
      <c r="D17" s="64">
        <v>1000</v>
      </c>
    </row>
    <row r="18" spans="1:4" ht="11.25" customHeight="1" x14ac:dyDescent="0.2">
      <c r="A18" s="56" t="s">
        <v>124</v>
      </c>
      <c r="B18" s="34">
        <v>189690.52</v>
      </c>
      <c r="C18" s="34">
        <v>495496.19</v>
      </c>
      <c r="D18" s="64">
        <v>2000</v>
      </c>
    </row>
    <row r="19" spans="1:4" ht="11.25" customHeight="1" x14ac:dyDescent="0.2">
      <c r="A19" s="56" t="s">
        <v>125</v>
      </c>
      <c r="B19" s="34">
        <v>560942.77</v>
      </c>
      <c r="C19" s="34">
        <v>1736012.64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68100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283042.54999999981</v>
      </c>
      <c r="C33" s="62">
        <f>C4-C16</f>
        <v>-175566.58000000007</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33000</v>
      </c>
      <c r="C41" s="62">
        <f>SUM(C42:C44)</f>
        <v>19842.96</v>
      </c>
      <c r="D41" s="63" t="s">
        <v>223</v>
      </c>
    </row>
    <row r="42" spans="1:4" ht="11.25" customHeight="1" x14ac:dyDescent="0.2">
      <c r="A42" s="56" t="s">
        <v>184</v>
      </c>
      <c r="B42" s="34">
        <v>0</v>
      </c>
      <c r="C42" s="34">
        <v>0</v>
      </c>
      <c r="D42" s="63">
        <v>6000</v>
      </c>
    </row>
    <row r="43" spans="1:4" ht="11.25" customHeight="1" x14ac:dyDescent="0.2">
      <c r="A43" s="56" t="s">
        <v>186</v>
      </c>
      <c r="B43" s="34">
        <v>33000</v>
      </c>
      <c r="C43" s="34">
        <v>19842.96</v>
      </c>
      <c r="D43" s="63">
        <v>5000</v>
      </c>
    </row>
    <row r="44" spans="1:4" ht="11.25" customHeight="1" x14ac:dyDescent="0.2">
      <c r="A44" s="56" t="s">
        <v>231</v>
      </c>
      <c r="B44" s="34">
        <v>0</v>
      </c>
      <c r="C44" s="34">
        <v>0</v>
      </c>
      <c r="D44" s="63">
        <v>7000</v>
      </c>
    </row>
    <row r="45" spans="1:4" ht="11.25" customHeight="1" x14ac:dyDescent="0.2">
      <c r="A45" s="41" t="s">
        <v>232</v>
      </c>
      <c r="B45" s="62">
        <f>B36-B41</f>
        <v>-33000</v>
      </c>
      <c r="C45" s="62">
        <f>C36-C41</f>
        <v>-19842.96</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11188.78</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11188.78</v>
      </c>
      <c r="D52" s="65"/>
    </row>
    <row r="53" spans="1:4" ht="11.25" customHeight="1" x14ac:dyDescent="0.2">
      <c r="A53" s="58"/>
      <c r="B53" s="33"/>
      <c r="C53" s="33"/>
      <c r="D53" s="63" t="s">
        <v>223</v>
      </c>
    </row>
    <row r="54" spans="1:4" ht="11.25" customHeight="1" x14ac:dyDescent="0.2">
      <c r="A54" s="55" t="s">
        <v>221</v>
      </c>
      <c r="B54" s="62">
        <f>SUM(B55+B58)</f>
        <v>13311.49</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13311.49</v>
      </c>
      <c r="C58" s="34">
        <v>0</v>
      </c>
      <c r="D58" s="63" t="s">
        <v>223</v>
      </c>
    </row>
    <row r="59" spans="1:4" ht="11.25" customHeight="1" x14ac:dyDescent="0.2">
      <c r="A59" s="41" t="s">
        <v>244</v>
      </c>
      <c r="B59" s="62">
        <f>B48-B54</f>
        <v>-13311.49</v>
      </c>
      <c r="C59" s="62">
        <f>C48-C54</f>
        <v>11188.78</v>
      </c>
      <c r="D59" s="63" t="s">
        <v>223</v>
      </c>
    </row>
    <row r="60" spans="1:4" ht="11.25" customHeight="1" x14ac:dyDescent="0.2">
      <c r="A60" s="46"/>
      <c r="B60" s="33"/>
      <c r="C60" s="33"/>
      <c r="D60" s="63" t="s">
        <v>223</v>
      </c>
    </row>
    <row r="61" spans="1:4" ht="11.25" customHeight="1" x14ac:dyDescent="0.2">
      <c r="A61" s="41" t="s">
        <v>245</v>
      </c>
      <c r="B61" s="62">
        <f>B59+B45+B33</f>
        <v>236731.05999999982</v>
      </c>
      <c r="C61" s="62">
        <f>C59+C45+C33</f>
        <v>-184220.76000000007</v>
      </c>
      <c r="D61" s="63" t="s">
        <v>223</v>
      </c>
    </row>
    <row r="62" spans="1:4" ht="11.25" customHeight="1" x14ac:dyDescent="0.2">
      <c r="A62" s="46"/>
      <c r="B62" s="33"/>
      <c r="C62" s="33"/>
      <c r="D62" s="63" t="s">
        <v>223</v>
      </c>
    </row>
    <row r="63" spans="1:4" ht="11.25" customHeight="1" x14ac:dyDescent="0.2">
      <c r="A63" s="41" t="s">
        <v>246</v>
      </c>
      <c r="B63" s="62">
        <v>85978.34</v>
      </c>
      <c r="C63" s="62">
        <v>270199.09999999998</v>
      </c>
      <c r="D63" s="63" t="s">
        <v>223</v>
      </c>
    </row>
    <row r="64" spans="1:4" ht="11.25" customHeight="1" x14ac:dyDescent="0.2">
      <c r="A64" s="46"/>
      <c r="B64" s="33"/>
      <c r="C64" s="33"/>
      <c r="D64" s="63" t="s">
        <v>223</v>
      </c>
    </row>
    <row r="65" spans="1:4" ht="11.25" customHeight="1" x14ac:dyDescent="0.2">
      <c r="A65" s="41" t="s">
        <v>247</v>
      </c>
      <c r="B65" s="62">
        <v>322709.40000000002</v>
      </c>
      <c r="C65" s="62">
        <v>85978.34</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402543.05999999982</v>
      </c>
      <c r="C3" s="62">
        <f t="shared" ref="C3:F3" si="0">C4+C12</f>
        <v>7755916.5999999996</v>
      </c>
      <c r="D3" s="62">
        <f t="shared" si="0"/>
        <v>7486185.54</v>
      </c>
      <c r="E3" s="62">
        <f t="shared" si="0"/>
        <v>672274.11999999965</v>
      </c>
      <c r="F3" s="62">
        <f t="shared" si="0"/>
        <v>269731.05999999982</v>
      </c>
    </row>
    <row r="4" spans="1:6" x14ac:dyDescent="0.2">
      <c r="A4" s="71" t="s">
        <v>160</v>
      </c>
      <c r="B4" s="62">
        <f>SUM(B5:B11)</f>
        <v>99896.78</v>
      </c>
      <c r="C4" s="62">
        <f>SUM(C5:C11)</f>
        <v>7689916.5999999996</v>
      </c>
      <c r="D4" s="62">
        <f>SUM(D5:D11)</f>
        <v>7453185.54</v>
      </c>
      <c r="E4" s="62">
        <f>SUM(E5:E11)</f>
        <v>336627.83999999985</v>
      </c>
      <c r="F4" s="62">
        <f>SUM(F5:F11)</f>
        <v>236731.05999999985</v>
      </c>
    </row>
    <row r="5" spans="1:6" x14ac:dyDescent="0.2">
      <c r="A5" s="72" t="s">
        <v>162</v>
      </c>
      <c r="B5" s="34">
        <v>85978.34</v>
      </c>
      <c r="C5" s="34">
        <v>3530875.6</v>
      </c>
      <c r="D5" s="34">
        <v>3294144.54</v>
      </c>
      <c r="E5" s="34">
        <f>B5+C5-D5</f>
        <v>322709.39999999991</v>
      </c>
      <c r="F5" s="34">
        <f t="shared" ref="F5:F11" si="1">E5-B5</f>
        <v>236731.05999999991</v>
      </c>
    </row>
    <row r="6" spans="1:6" x14ac:dyDescent="0.2">
      <c r="A6" s="72" t="s">
        <v>164</v>
      </c>
      <c r="B6" s="34">
        <v>13918.44</v>
      </c>
      <c r="C6" s="34">
        <v>4159041</v>
      </c>
      <c r="D6" s="34">
        <v>4159041</v>
      </c>
      <c r="E6" s="34">
        <f t="shared" ref="E6:E11" si="2">B6+C6-D6</f>
        <v>13918.439999999944</v>
      </c>
      <c r="F6" s="34">
        <f t="shared" si="1"/>
        <v>-5.6388671509921551E-11</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302646.2799999998</v>
      </c>
      <c r="C12" s="62">
        <f>SUM(C13:C21)</f>
        <v>66000</v>
      </c>
      <c r="D12" s="62">
        <f>SUM(D13:D21)</f>
        <v>33000</v>
      </c>
      <c r="E12" s="62">
        <f>SUM(E13:E21)</f>
        <v>335646.2799999998</v>
      </c>
      <c r="F12" s="62">
        <f>SUM(F13:F21)</f>
        <v>33000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2491912.29</v>
      </c>
      <c r="C16" s="34">
        <v>66000</v>
      </c>
      <c r="D16" s="34">
        <v>33000</v>
      </c>
      <c r="E16" s="34">
        <f t="shared" si="4"/>
        <v>2524912.29</v>
      </c>
      <c r="F16" s="34">
        <f t="shared" si="3"/>
        <v>33000</v>
      </c>
    </row>
    <row r="17" spans="1:6" x14ac:dyDescent="0.2">
      <c r="A17" s="72" t="s">
        <v>188</v>
      </c>
      <c r="B17" s="34">
        <v>34636.050000000003</v>
      </c>
      <c r="C17" s="34">
        <v>0</v>
      </c>
      <c r="D17" s="34">
        <v>0</v>
      </c>
      <c r="E17" s="34">
        <f t="shared" si="4"/>
        <v>34636.050000000003</v>
      </c>
      <c r="F17" s="34">
        <f t="shared" si="3"/>
        <v>0</v>
      </c>
    </row>
    <row r="18" spans="1:6" x14ac:dyDescent="0.2">
      <c r="A18" s="72" t="s">
        <v>190</v>
      </c>
      <c r="B18" s="34">
        <v>-2223902.06</v>
      </c>
      <c r="C18" s="34">
        <v>0</v>
      </c>
      <c r="D18" s="34">
        <v>0</v>
      </c>
      <c r="E18" s="34">
        <f t="shared" si="4"/>
        <v>-2223902.06</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2025-07-23T18:45:34Z</dcterms:modified>
</cp:coreProperties>
</file>