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soreria\Desktop\CUENTA PÚBLICA 2DA TRIMESTRE 2026\"/>
    </mc:Choice>
  </mc:AlternateContent>
  <bookViews>
    <workbookView xWindow="-105" yWindow="-105" windowWidth="23250" windowHeight="12450" firstSheet="2" activeTab="19"/>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6" l="1"/>
  <c r="G39" i="16" s="1"/>
  <c r="D38" i="16"/>
  <c r="G38" i="16" s="1"/>
  <c r="D37" i="16"/>
  <c r="G37" i="16" s="1"/>
  <c r="D36" i="16"/>
  <c r="G36" i="16" s="1"/>
  <c r="D35" i="16"/>
  <c r="G35" i="16" s="1"/>
  <c r="D34" i="16"/>
  <c r="G34" i="16" s="1"/>
  <c r="D33" i="16"/>
  <c r="G33" i="16" s="1"/>
  <c r="D32" i="16"/>
  <c r="G32" i="16" s="1"/>
  <c r="D31" i="16"/>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D35" i="22" l="1"/>
  <c r="G35" i="22" s="1"/>
  <c r="D34" i="22"/>
  <c r="G34" i="22" s="1"/>
  <c r="G33" i="22"/>
  <c r="D33" i="22"/>
  <c r="D32" i="22"/>
  <c r="G32" i="22" s="1"/>
  <c r="D31" i="22"/>
  <c r="G31" i="22" s="1"/>
  <c r="D30" i="22"/>
  <c r="G30" i="22" s="1"/>
  <c r="D29" i="22"/>
  <c r="G29" i="22" s="1"/>
  <c r="D28" i="22"/>
  <c r="G28" i="22" s="1"/>
  <c r="D27" i="22"/>
  <c r="G27" i="22" s="1"/>
  <c r="F26" i="22"/>
  <c r="E26" i="22"/>
  <c r="C26" i="22"/>
  <c r="B26" i="22"/>
  <c r="D25" i="22"/>
  <c r="G25" i="22" s="1"/>
  <c r="G24" i="22"/>
  <c r="D24" i="22"/>
  <c r="D23" i="22"/>
  <c r="D22" i="22"/>
  <c r="G22" i="22" s="1"/>
  <c r="F21" i="22"/>
  <c r="E21" i="22"/>
  <c r="C21" i="22"/>
  <c r="B21" i="22"/>
  <c r="D20" i="22"/>
  <c r="G20" i="22" s="1"/>
  <c r="D19" i="22"/>
  <c r="G19" i="22" s="1"/>
  <c r="D18" i="22"/>
  <c r="G18" i="22" s="1"/>
  <c r="D17" i="22"/>
  <c r="G17" i="22" s="1"/>
  <c r="D16" i="22"/>
  <c r="G16" i="22" s="1"/>
  <c r="D15" i="22"/>
  <c r="G15" i="22" s="1"/>
  <c r="D14" i="22"/>
  <c r="F13" i="22"/>
  <c r="E13" i="22"/>
  <c r="C13" i="22"/>
  <c r="B13" i="22"/>
  <c r="D12" i="22"/>
  <c r="G12" i="22" s="1"/>
  <c r="D11" i="22"/>
  <c r="G11" i="22" s="1"/>
  <c r="D10" i="22"/>
  <c r="F9" i="22"/>
  <c r="E9" i="22"/>
  <c r="C9" i="22"/>
  <c r="B9" i="22"/>
  <c r="D8" i="22"/>
  <c r="G8" i="22" s="1"/>
  <c r="D7" i="22"/>
  <c r="G7" i="22" s="1"/>
  <c r="G6" i="22" s="1"/>
  <c r="F6" i="22"/>
  <c r="E6" i="22"/>
  <c r="C6" i="22"/>
  <c r="B6" i="22"/>
  <c r="G10" i="23"/>
  <c r="G26" i="22" l="1"/>
  <c r="D21" i="22"/>
  <c r="D13" i="22"/>
  <c r="F37" i="22"/>
  <c r="E37" i="22"/>
  <c r="C37" i="22"/>
  <c r="E45" i="14" s="1"/>
  <c r="B37" i="22"/>
  <c r="E44" i="14" s="1"/>
  <c r="D9" i="22"/>
  <c r="E52" i="14"/>
  <c r="E57" i="14"/>
  <c r="E51" i="14"/>
  <c r="E56" i="14"/>
  <c r="E60" i="14"/>
  <c r="E55" i="14"/>
  <c r="E50" i="14"/>
  <c r="E40" i="14"/>
  <c r="D6" i="22"/>
  <c r="G23" i="22"/>
  <c r="G21" i="22" s="1"/>
  <c r="G14" i="22"/>
  <c r="G13" i="22" s="1"/>
  <c r="G10" i="22"/>
  <c r="G9" i="22" s="1"/>
  <c r="D26" i="22"/>
  <c r="H41" i="14"/>
  <c r="H29" i="14"/>
  <c r="H24" i="14"/>
  <c r="H19" i="14"/>
  <c r="H14" i="14"/>
  <c r="G37" i="22" l="1"/>
  <c r="E49" i="14"/>
  <c r="E39" i="14"/>
  <c r="E59" i="14"/>
  <c r="D37" i="22"/>
  <c r="E54" i="14"/>
  <c r="E62" i="14"/>
  <c r="E42" i="14"/>
  <c r="E47" i="14"/>
  <c r="E61" i="14"/>
  <c r="E46" i="14"/>
  <c r="E41"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59" i="7"/>
  <c r="B45" i="7"/>
  <c r="B33" i="7"/>
  <c r="B43" i="6"/>
  <c r="C43" i="6"/>
  <c r="C3" i="6"/>
  <c r="B3" i="6"/>
  <c r="D38" i="5"/>
  <c r="F26" i="4"/>
  <c r="C24" i="3"/>
  <c r="B24" i="3"/>
  <c r="B28" i="4"/>
  <c r="C28" i="4"/>
  <c r="C3" i="8"/>
  <c r="C45" i="7"/>
  <c r="C61" i="7" s="1"/>
  <c r="E30" i="9"/>
  <c r="E12" i="8"/>
  <c r="B24" i="6"/>
  <c r="E16" i="9"/>
  <c r="C24" i="6"/>
  <c r="C33" i="7"/>
  <c r="D30" i="9"/>
  <c r="E20" i="5"/>
  <c r="E38" i="5" s="1"/>
  <c r="F9" i="5"/>
  <c r="B64" i="3"/>
  <c r="B66" i="3" s="1"/>
  <c r="D3" i="8"/>
  <c r="F27" i="5"/>
  <c r="B59" i="7"/>
  <c r="B61" i="7" s="1"/>
  <c r="C64" i="3"/>
  <c r="C66" i="3" s="1"/>
  <c r="E46" i="4"/>
  <c r="E4" i="8"/>
  <c r="F46" i="4"/>
  <c r="E26" i="4"/>
  <c r="F116" i="13" s="1"/>
  <c r="F16" i="8"/>
  <c r="F12" i="8" s="1"/>
  <c r="F6" i="8"/>
  <c r="F4" i="8" s="1"/>
  <c r="B38" i="5"/>
  <c r="F4" i="5"/>
  <c r="C20" i="5"/>
  <c r="C38" i="5" s="1"/>
  <c r="D3" i="9" l="1"/>
  <c r="D34" i="9" s="1"/>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41" i="16" l="1"/>
  <c r="B41"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C15" i="17"/>
  <c r="E18" i="14" s="1"/>
  <c r="B15" i="17"/>
  <c r="H49" i="14" s="1"/>
  <c r="D13" i="17"/>
  <c r="G13" i="17" s="1"/>
  <c r="D11" i="17"/>
  <c r="G11" i="17" s="1"/>
  <c r="D9" i="17"/>
  <c r="G9" i="17" s="1"/>
  <c r="D7" i="17"/>
  <c r="G7" i="17" s="1"/>
  <c r="D5" i="17"/>
  <c r="G5" i="17" s="1"/>
  <c r="F76" i="16"/>
  <c r="E76" i="16"/>
  <c r="C76" i="16"/>
  <c r="B76" i="16"/>
  <c r="D74" i="16"/>
  <c r="G74" i="16" s="1"/>
  <c r="D72" i="16"/>
  <c r="G72" i="16" s="1"/>
  <c r="D70" i="16"/>
  <c r="G70" i="16" s="1"/>
  <c r="D68" i="16"/>
  <c r="G68" i="16" s="1"/>
  <c r="D66" i="16"/>
  <c r="G66" i="16" s="1"/>
  <c r="D64" i="16"/>
  <c r="G64" i="16" s="1"/>
  <c r="D62" i="16"/>
  <c r="G62" i="16" s="1"/>
  <c r="D60" i="16"/>
  <c r="F53" i="16"/>
  <c r="E53" i="16"/>
  <c r="C53" i="16"/>
  <c r="B53" i="16"/>
  <c r="D51" i="16"/>
  <c r="G51" i="16" s="1"/>
  <c r="D50" i="16"/>
  <c r="G50" i="16" s="1"/>
  <c r="D49" i="16"/>
  <c r="G49" i="16" s="1"/>
  <c r="D48" i="16"/>
  <c r="G48" i="16" s="1"/>
  <c r="F41" i="16"/>
  <c r="E15" i="14" s="1"/>
  <c r="E41" i="16"/>
  <c r="E14" i="14" s="1"/>
  <c r="H45" i="14"/>
  <c r="E12" i="14"/>
  <c r="D40" i="16"/>
  <c r="G40"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7" i="14"/>
  <c r="I47" i="14" s="1"/>
  <c r="H42" i="14"/>
  <c r="H40" i="14"/>
  <c r="H39" i="14"/>
  <c r="H37" i="14"/>
  <c r="H36" i="14"/>
  <c r="H33" i="14"/>
  <c r="H32" i="14"/>
  <c r="H30" i="14"/>
  <c r="H28" i="14"/>
  <c r="H27" i="14"/>
  <c r="H25" i="14"/>
  <c r="H23" i="14"/>
  <c r="H22" i="14"/>
  <c r="H20" i="14"/>
  <c r="E20" i="14"/>
  <c r="E19" i="14"/>
  <c r="I19" i="14" s="1"/>
  <c r="H18" i="14"/>
  <c r="I18" i="14" s="1"/>
  <c r="H17" i="14"/>
  <c r="H15" i="14"/>
  <c r="H13" i="14"/>
  <c r="H12" i="14"/>
  <c r="H10" i="14"/>
  <c r="H9" i="14"/>
  <c r="H8" i="14"/>
  <c r="H7" i="14"/>
  <c r="E17" i="14" l="1"/>
  <c r="D42" i="18"/>
  <c r="G42" i="18" s="1"/>
  <c r="D12" i="18"/>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76" i="16"/>
  <c r="F41" i="19"/>
  <c r="E38" i="15"/>
  <c r="G60" i="16"/>
  <c r="G76" i="16" s="1"/>
  <c r="G16" i="19"/>
  <c r="G15" i="19" s="1"/>
  <c r="I17" i="14"/>
  <c r="D15" i="15"/>
  <c r="D64" i="18"/>
  <c r="G64" i="18" s="1"/>
  <c r="G35" i="19"/>
  <c r="G15" i="15"/>
  <c r="G29" i="15"/>
  <c r="G38" i="15" s="1"/>
  <c r="D29" i="15"/>
  <c r="D22" i="18"/>
  <c r="G22" i="18" s="1"/>
  <c r="I45" i="14"/>
  <c r="H46" i="14"/>
  <c r="D19" i="15"/>
  <c r="D4" i="18"/>
  <c r="G4" i="18" s="1"/>
  <c r="D41" i="16"/>
  <c r="E76" i="18"/>
  <c r="E24" i="14" s="1"/>
  <c r="I24" i="14" s="1"/>
  <c r="G15" i="17"/>
  <c r="F76" i="18"/>
  <c r="E25" i="14" s="1"/>
  <c r="I25" i="14" s="1"/>
  <c r="D5" i="19"/>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E30" i="14"/>
  <c r="I30" i="14" s="1"/>
  <c r="H62" i="14"/>
  <c r="I56" i="14"/>
  <c r="I51" i="14"/>
  <c r="I41" i="14"/>
  <c r="G53" i="16"/>
  <c r="I40" i="14"/>
  <c r="E22" i="14"/>
  <c r="I22" i="14" s="1"/>
  <c r="I42" i="14"/>
  <c r="I52" i="14"/>
  <c r="G41" i="16"/>
  <c r="E29" i="14"/>
  <c r="I29" i="14" s="1"/>
  <c r="I49" i="14"/>
  <c r="I39" i="14"/>
  <c r="G7" i="19"/>
  <c r="G5" i="19" s="1"/>
  <c r="C76" i="18"/>
  <c r="E13" i="14"/>
  <c r="I13" i="14" s="1"/>
  <c r="D53" i="16"/>
  <c r="H44" i="14"/>
  <c r="I44" i="14" s="1"/>
  <c r="D15" i="17"/>
  <c r="D41" i="19" l="1"/>
  <c r="H57" i="14"/>
  <c r="I57" i="14" s="1"/>
  <c r="H59" i="14"/>
  <c r="I59" i="14" s="1"/>
  <c r="D52" i="1" s="1"/>
  <c r="D38" i="15"/>
  <c r="D50" i="1"/>
  <c r="E28" i="14"/>
  <c r="I28" i="14" s="1"/>
  <c r="G76" i="18"/>
  <c r="D46" i="1"/>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<sst xmlns="http://schemas.openxmlformats.org/spreadsheetml/2006/main" count="1866" uniqueCount="728">
  <si>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</si>
  <si>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</si>
  <si>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</si>
  <si>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</si>
  <si>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</si>
  <si>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</si>
  <si>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</si>
  <si>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</si>
  <si>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</si>
  <si>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</si>
  <si>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</si>
  <si>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</si>
  <si>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</si>
  <si>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</si>
  <si>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</si>
  <si>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</si>
  <si>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</si>
  <si>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</si>
  <si>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</si>
  <si>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</si>
  <si>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</si>
  <si>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</si>
  <si>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</si>
  <si>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</si>
  <si>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</si>
  <si>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</si>
  <si>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</si>
  <si>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</si>
  <si>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</si>
  <si>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</si>
  <si>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</si>
  <si>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</si>
  <si>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</si>
  <si>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</si>
  <si>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</si>
  <si>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</si>
  <si>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</si>
  <si>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</si>
  <si>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</si>
  <si>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</si>
  <si>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</si>
  <si>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</si>
  <si>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</si>
  <si>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</si>
  <si>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</si>
  <si>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</si>
  <si>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</si>
  <si>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</si>
  <si>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</si>
  <si>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</si>
  <si>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</si>
  <si>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</si>
  <si>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</si>
  <si>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</si>
  <si>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</si>
  <si>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</si>
  <si>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</si>
  <si>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</si>
  <si>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</si>
  <si>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</si>
  <si>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</si>
  <si>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</si>
  <si>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</si>
  <si>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</si>
  <si>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</si>
  <si>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</si>
  <si>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</si>
  <si>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</si>
  <si>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</si>
  <si>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</si>
  <si>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</si>
  <si>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</si>
  <si>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</si>
  <si>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</si>
  <si>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</si>
  <si>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</si>
  <si>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</si>
  <si>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</si>
  <si>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</si>
  <si>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</si>
  <si>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</si>
  <si>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</si>
  <si>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</si>
  <si>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</si>
  <si>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</si>
  <si>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</si>
  <si>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</si>
  <si>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</si>
  <si>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</si>
  <si>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</si>
  <si>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</si>
  <si>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</si>
  <si>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</si>
  <si>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</si>
  <si>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</si>
  <si>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</si>
  <si>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</si>
  <si>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</si>
  <si>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</si>
  <si>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</si>
  <si>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</si>
  <si>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</si>
  <si>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</si>
  <si>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</si>
  <si>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</si>
  <si>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</si>
  <si>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</si>
  <si>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</si>
  <si>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</si>
  <si>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</si>
  <si>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</si>
  <si>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</si>
  <si>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</si>
  <si>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</si>
  <si>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</si>
  <si>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</si>
  <si>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</si>
  <si>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</si>
  <si>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</si>
  <si>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</si>
  <si>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</si>
  <si>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</si>
  <si>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</si>
  <si>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</si>
  <si>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</si>
  <si>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</si>
  <si>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</si>
  <si>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</si>
  <si>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</si>
  <si>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</si>
  <si>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</si>
  <si>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</si>
  <si>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</si>
  <si>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</si>
  <si>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</si>
  <si>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</si>
  <si>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</si>
  <si>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</si>
  <si>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</si>
  <si>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</si>
  <si>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</si>
  <si>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</si>
  <si>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</si>
  <si>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</si>
  <si>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</si>
  <si>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</si>
  <si>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</si>
  <si>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</si>
  <si>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</si>
  <si>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</si>
  <si>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</si>
  <si>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</si>
  <si>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</si>
  <si>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</si>
  <si>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</si>
  <si>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</si>
  <si>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</si>
  <si>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</si>
  <si>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</si>
  <si>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</si>
  <si>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</si>
  <si>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</si>
  <si>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</si>
  <si>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</si>
  <si>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</si>
  <si>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</si>
  <si>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</si>
  <si>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</si>
  <si>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</si>
  <si>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</si>
  <si>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</si>
  <si>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</si>
  <si>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</si>
  <si>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</si>
  <si>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</si>
  <si>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</si>
  <si>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</si>
  <si>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</si>
  <si>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</si>
  <si>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</si>
  <si>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</si>
  <si>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</si>
  <si>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</si>
  <si>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</si>
  <si>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</si>
  <si>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</si>
  <si>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</si>
  <si>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</si>
  <si>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</si>
  <si>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</si>
  <si>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</si>
  <si>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</si>
  <si>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</si>
  <si>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</si>
  <si>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</si>
  <si>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</si>
  <si>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</si>
  <si>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</si>
  <si>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</si>
  <si>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</si>
  <si>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</si>
  <si>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</si>
  <si>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</si>
  <si>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</si>
  <si>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</si>
  <si>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</si>
  <si>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</si>
  <si>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</si>
  <si>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</si>
  <si>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</si>
  <si>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</si>
  <si>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</si>
  <si>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</si>
  <si>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</si>
  <si>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</si>
  <si>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</si>
  <si>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</si>
  <si>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</si>
  <si>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</si>
  <si>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</si>
  <si>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</si>
  <si>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</si>
  <si>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</si>
  <si>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</si>
  <si>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</si>
  <si>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</si>
  <si>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</si>
  <si>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</si>
  <si>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</si>
  <si>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</si>
  <si>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</si>
  <si>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</si>
  <si>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</si>
  <si>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</si>
  <si>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</si>
  <si>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</si>
  <si>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</si>
  <si>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</si>
  <si>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</si>
  <si>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</si>
  <si>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</si>
  <si>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</si>
  <si>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</si>
  <si>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</si>
  <si>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</si>
  <si>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</si>
  <si>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</si>
  <si>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</si>
  <si>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</si>
  <si>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</si>
  <si>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</si>
  <si>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</si>
  <si>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</si>
  <si>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</si>
  <si>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</si>
  <si>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</si>
  <si>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</si>
  <si>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</si>
  <si>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</si>
  <si>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</si>
  <si>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</si>
  <si>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</si>
  <si>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</si>
  <si>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</si>
  <si>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</si>
  <si>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</si>
  <si>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</si>
  <si>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</si>
  <si>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</si>
  <si>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</si>
  <si>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</si>
  <si>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</si>
  <si>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</si>
  <si>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</si>
  <si>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</si>
  <si>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</si>
  <si>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</si>
  <si>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</si>
  <si>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</si>
  <si>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</si>
  <si>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</si>
  <si>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</si>
  <si>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</si>
  <si>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</si>
  <si>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</si>
  <si>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</si>
  <si>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</si>
  <si>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</si>
  <si>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</si>
  <si>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</si>
  <si>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</si>
  <si>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</si>
  <si>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</si>
  <si>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</si>
  <si>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</si>
  <si>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</si>
  <si>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</si>
  <si>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</si>
  <si>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</si>
  <si>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</si>
  <si>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</si>
  <si>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</si>
  <si>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</si>
  <si>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</si>
  <si>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</si>
  <si>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</si>
  <si>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</si>
  <si>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</si>
  <si>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</si>
  <si>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</si>
  <si>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</si>
  <si>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</si>
  <si>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</si>
  <si>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</si>
  <si>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</si>
  <si>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</si>
  <si>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</si>
  <si>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</si>
  <si>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</si>
  <si>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</si>
  <si>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</si>
  <si>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</si>
  <si>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</si>
  <si>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</si>
  <si>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</si>
  <si>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</si>
  <si>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</si>
  <si>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</si>
  <si>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</si>
  <si>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</si>
  <si>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</si>
  <si>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</si>
  <si>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</si>
  <si>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</si>
  <si>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</si>
  <si>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</si>
  <si>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</si>
  <si>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</si>
  <si>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</si>
  <si>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</si>
  <si>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</si>
  <si>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</si>
  <si>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</si>
  <si>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</si>
  <si>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</si>
  <si>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</si>
  <si>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</si>
  <si>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</si>
  <si>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</si>
  <si>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</si>
  <si>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</si>
  <si>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</si>
  <si>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</si>
  <si>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</si>
  <si>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</si>
  <si>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</si>
  <si>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</si>
  <si>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</si>
  <si>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</si>
  <si>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</si>
  <si>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</si>
  <si>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</si>
  <si>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</si>
  <si>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</si>
  <si>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</si>
  <si>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</si>
  <si>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</si>
  <si>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</si>
  <si>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</si>
  <si>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</si>
  <si>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</si>
  <si>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</si>
  <si>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</si>
  <si>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</si>
  <si>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</si>
  <si>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</si>
  <si>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</si>
  <si>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</si>
  <si>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</si>
  <si>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</si>
  <si>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</si>
  <si>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</si>
  <si>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</si>
  <si>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</si>
  <si>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</si>
  <si>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</si>
  <si>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</si>
  <si>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</si>
  <si>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</si>
  <si>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</si>
  <si>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</si>
  <si>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</si>
  <si>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</si>
  <si>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</si>
  <si>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</si>
  <si>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</si>
  <si>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</si>
  <si>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</si>
  <si>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</si>
  <si>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</si>
  <si>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</si>
  <si>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</si>
  <si>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</si>
  <si>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</si>
  <si>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</si>
  <si>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</si>
  <si>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</si>
  <si>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</si>
  <si>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</si>
  <si>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</si>
  <si>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</si>
  <si>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</si>
  <si>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</si>
  <si>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</si>
  <si>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</si>
  <si>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</si>
  <si>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</si>
  <si>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</si>
  <si>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</si>
  <si>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</si>
  <si>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</si>
  <si>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</si>
  <si>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</si>
  <si>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</si>
  <si>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</si>
  <si>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</si>
  <si>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</si>
  <si>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</si>
  <si>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</si>
  <si>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</si>
  <si>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</si>
  <si>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</si>
  <si>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</si>
  <si>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</si>
  <si>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</si>
  <si>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</si>
  <si>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</si>
  <si>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</si>
  <si>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</si>
  <si>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</si>
  <si>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</si>
  <si>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</si>
  <si>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</si>
  <si>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</si>
  <si>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</si>
  <si>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</si>
  <si>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</si>
  <si>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</si>
  <si>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</si>
  <si>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</si>
  <si>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</si>
  <si>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</si>
  <si>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</si>
  <si>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</si>
  <si>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</si>
  <si>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</si>
  <si>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</si>
  <si>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</si>
  <si>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</si>
  <si>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</si>
  <si>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</si>
  <si>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</si>
  <si>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</si>
  <si>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</si>
  <si>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</si>
  <si>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</si>
  <si>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</si>
  <si>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</si>
  <si>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</si>
  <si>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</si>
  <si>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</si>
  <si>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</si>
  <si>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</si>
  <si>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</si>
  <si>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</si>
  <si>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</si>
  <si>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</si>
  <si>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</si>
  <si>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</si>
  <si>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</si>
  <si>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</si>
  <si>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</si>
  <si>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</si>
  <si>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</si>
  <si>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</si>
  <si>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</si>
  <si>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</si>
  <si>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</si>
  <si>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</si>
  <si>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</si>
  <si>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</si>
  <si>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</si>
  <si>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</si>
  <si>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</si>
  <si>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</si>
  <si>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</si>
  <si>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</si>
  <si>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</si>
  <si>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</si>
  <si>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</si>
  <si>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</si>
  <si>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</si>
  <si>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</si>
  <si>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</si>
  <si>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</si>
  <si>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</si>
  <si>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</si>
  <si>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</si>
  <si>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</si>
  <si>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</si>
  <si>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</si>
  <si>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</si>
  <si>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</si>
  <si>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</si>
  <si>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</si>
  <si>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</si>
  <si>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</si>
  <si>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</si>
  <si>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</si>
  <si>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</si>
  <si>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</si>
  <si>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</si>
  <si>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</si>
  <si>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</si>
  <si>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</si>
  <si>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</si>
  <si>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</si>
  <si>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</si>
  <si>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</si>
  <si>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</si>
  <si>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</si>
  <si>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</si>
  <si>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</si>
  <si>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</si>
  <si>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</si>
  <si>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</si>
  <si>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</si>
  <si>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</si>
  <si>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</si>
  <si>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</si>
  <si>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</si>
  <si>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</si>
  <si>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</si>
  <si>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</si>
  <si>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</si>
  <si>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</si>
  <si>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</si>
  <si>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</si>
  <si>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</si>
  <si>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</si>
  <si>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</si>
  <si>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</si>
  <si>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</si>
  <si>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</si>
  <si>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</si>
  <si>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</si>
  <si>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</si>
  <si>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</si>
  <si>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</si>
  <si>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</si>
  <si>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</si>
  <si>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</si>
  <si>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</si>
  <si>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</si>
  <si>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</si>
  <si>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</si>
  <si>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</si>
  <si>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</si>
  <si>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</si>
  <si>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</si>
  <si>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</si>
  <si>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</si>
  <si>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</si>
  <si>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</si>
  <si>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</si>
  <si>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</si>
  <si>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</si>
  <si>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</si>
  <si>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</si>
  <si>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</si>
  <si>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</si>
  <si>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</si>
  <si>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</si>
  <si>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</si>
  <si>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</si>
  <si>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</si>
  <si>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</si>
  <si>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</si>
  <si>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</si>
  <si>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</si>
  <si>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</si>
  <si>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</si>
  <si>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</si>
  <si>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</si>
  <si>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</si>
  <si>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</si>
  <si>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</si>
  <si>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</si>
  <si>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</si>
  <si>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</si>
  <si>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</si>
  <si>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</si>
  <si>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</si>
  <si>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</si>
  <si>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</si>
  <si>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</si>
  <si>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</si>
  <si>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</si>
  <si>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</si>
  <si>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</si>
  <si>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</si>
  <si>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</si>
  <si>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</si>
  <si>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</si>
  <si>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</si>
  <si>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</si>
  <si>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</si>
  <si>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</si>
  <si>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</si>
  <si>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</si>
  <si>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</si>
  <si>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</si>
  <si>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</si>
  <si>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</si>
  <si>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</si>
  <si>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</si>
  <si>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</si>
  <si>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</si>
  <si>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</si>
  <si>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</si>
  <si>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</si>
  <si>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</si>
  <si>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</si>
  <si>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</si>
  <si>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</si>
  <si>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</si>
  <si>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</si>
  <si>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</si>
  <si>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</si>
  <si>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</si>
  <si>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</si>
  <si>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</si>
  <si>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</si>
  <si>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</si>
  <si>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</si>
  <si>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</si>
  <si>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</si>
  <si>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</si>
  <si>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</si>
  <si>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</si>
  <si>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</si>
  <si>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</si>
  <si>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</si>
  <si>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</si>
  <si>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</si>
  <si>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</si>
  <si>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</si>
  <si>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</si>
  <si>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</si>
  <si>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</si>
  <si>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</si>
  <si>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</si>
  <si>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</si>
  <si>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</si>
  <si>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Municipio de Uriangato Gto.
Estado de Actividades
Del 1 de Enero al 31 de Marzo de 2026
(Cifras en Pesos)</t>
  </si>
  <si>
    <t>Municipio de Uriangato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</si>
  <si>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</si>
  <si>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</si>
  <si>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</si>
  <si>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</si>
  <si>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</si>
  <si>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</si>
  <si>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</si>
  <si>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</si>
  <si>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Municipio de Uriangato Gto.
Estado de Variación en la Hacienda Pública
Del 1 de Enero 31 de Marzo de 2026
(Cifras en Pesos)</t>
  </si>
  <si>
    <t>Municipio de Uriangato Gto.
Estado de Cambios en la Situación Financiera
Del 1 de Enero al 31 de Marzo de 2026
(Cifras en Pesos)</t>
  </si>
  <si>
    <t>Municipio de Uriangato Gto.
Estado de Flujos de Efectivo
Del 1 de Enero al 31 de Marzo de 2026
(Cifras en Pesos)</t>
  </si>
  <si>
    <t>Municipio de Uriangato Gto.
Estado Analítico del Activo
Del 1 de Enero al 31 de Marzo de 2026
(Cifras en Pesos)</t>
  </si>
  <si>
    <t>Municipio de Uriangato Gto.
Estado Analítico de la Deuda y Otros Pasivos
Del 1 de Enero al 31 de Marzo de 2026
(Cifras en Pesos)</t>
  </si>
  <si>
    <t>Municipio de Uriangato Gto.</t>
  </si>
  <si>
    <t>Correspondiente del 1 de Enero al 31 de Marzo de 2026</t>
  </si>
  <si>
    <t>Municipio de Uriangato Gto.
Estado Analítico del Ejercicio del Presupuesto de Egresos
Clasificación por Objeto del Gasto (Capítulo y Concepto)
Del 1 de Enero al 31 de Marzo de 2026
(Cifras en Pesos)</t>
  </si>
  <si>
    <t>Municipio de Uriangato Gto.
Estado Analítico del Ejercicio del Presupuesto de Egresos
Clasificación Económica (por Tipo de Gasto)
Del 1 de Enero al 31 de Marzo de 2026
(Cifras en Pesos)</t>
  </si>
  <si>
    <t>31111M410010000 PRESIDENTE MUNICIPAL</t>
  </si>
  <si>
    <t>31111M410020000 REGIDORES MUNICIPALES</t>
  </si>
  <si>
    <t>31111M410030000 SINDICO MUNICIPAL</t>
  </si>
  <si>
    <t>31111M410040000 PRESIDENCIA MUNICIPAL</t>
  </si>
  <si>
    <t>31111M410050000 SECRETARIA DEL H AYUNTAM</t>
  </si>
  <si>
    <t>31111M410060000 TESORERIA MUNICIPAL</t>
  </si>
  <si>
    <t>31111M410070000 DIRECCION DE CATASTRO MU</t>
  </si>
  <si>
    <t>31111M410080000 DIR TEC DE LA INF Y TELE</t>
  </si>
  <si>
    <t>31111M410090000 DIR FISCALIZACION DE ALC</t>
  </si>
  <si>
    <t>31111M410100000 CONTRALORIA MUNICIPAL</t>
  </si>
  <si>
    <t>31111M410110000 DIRECCION DE SERVICIOS A</t>
  </si>
  <si>
    <t>31111M410120000 JUZGADO MUNICIPAL</t>
  </si>
  <si>
    <t>31111M410130000 DIRECCION DE PLANEACION</t>
  </si>
  <si>
    <t>31111M410140000 DIRECCION JURIDICA</t>
  </si>
  <si>
    <t>31111M410150000 DIRECCION DE DESARROLLO</t>
  </si>
  <si>
    <t>31111M410160000 DIRECCION DE DESARROLLO</t>
  </si>
  <si>
    <t>31111M410170000 DIRECCION DE DESARROLLO</t>
  </si>
  <si>
    <t>31111M410180000 DIRECCION DE DESARROLLO</t>
  </si>
  <si>
    <t>31111M410190000 DIRECCION DEL MEDIO AMBI</t>
  </si>
  <si>
    <t>31111M410200000 DIRECCION DE OBRAS PUBLI</t>
  </si>
  <si>
    <t>31111M410210000 DIRECCION DE COMUNICACIO</t>
  </si>
  <si>
    <t>31111M410220000 DIRECCION DE EDUCACION Y</t>
  </si>
  <si>
    <t>31111M410230000 DIRECCION UNIDAD DE TRAN</t>
  </si>
  <si>
    <t>31111M410240000 DIRECCION DE SERVICIOS P</t>
  </si>
  <si>
    <t>31111M410250000 DIRECCION DE SEGURIDAD P</t>
  </si>
  <si>
    <t>31111M410260000 DIRECCION DE TRANSITO Y</t>
  </si>
  <si>
    <t>31111M410270000 DIRECCION DE PROTECCION</t>
  </si>
  <si>
    <t>31111M410280000 DIRECCION MUNICIPAL DE A</t>
  </si>
  <si>
    <t>31111M410290000 PROCURAD MPAL PROTECC NI</t>
  </si>
  <si>
    <t>31111M410300000 COORDINACION DE ARCHIVO</t>
  </si>
  <si>
    <t>31111M410310000 INSTITUTO DE LA JUVENTUD</t>
  </si>
  <si>
    <t>31111M410320000 COORDINACION MUNICIPAL D</t>
  </si>
  <si>
    <t>31111M410900200 SISTEMA PARA EL DESARR I</t>
  </si>
  <si>
    <t>31111M410900300 COMISION MPAL DEL DEP Y</t>
  </si>
  <si>
    <t>31111M410900400 CASA DE LA CULTURA URIAN</t>
  </si>
  <si>
    <t>Municipio de Uriangato Gto.
Estado Analítico del Ejercicio del Presupuesto de Egresos
Clasificación Administrativa
Del 1 de Enero al 31 de Marzo de 2026
(Cifras en Pesos)</t>
  </si>
  <si>
    <t>Municipio de Uriangato Gto.
Estado Analítico del Ejercicio del Presupuesto de Egresos
Clasificación Funcional (Finalidad y Función)
Del 1 de Enero al 31 de Marzo de 2026
(Cifras en Pesos)</t>
  </si>
  <si>
    <t>Municipio de Uriangato Gto.
Estado Analítico de Ingresos
Del 1 de Enero al 31 de Marzo de 2026
(Cifras en Pesos)</t>
  </si>
  <si>
    <t>Municipio de Uriangato Gto.
Gasto por Categoría Programática
Del 1 de Enero al 31 de Marzo de 2026
(Cifras en Pesos)</t>
  </si>
  <si>
    <t>Municipio de Uriangato Gto.
INDICADORES DE POSTURA FISCAL
Del 1 de Enero al 31 de Marzo de 2026
(Cifras en Pesos)</t>
  </si>
  <si>
    <t>Adelanto de participaciones</t>
  </si>
  <si>
    <t>Con otros entes municipales</t>
  </si>
  <si>
    <t>Municipio de Uriangato Gto.
Endeudamiento Neto
Del 1 de Enero al 31 de Marzo de 2026
(Cifras en Pesos)</t>
  </si>
  <si>
    <t>Municipio de Uriangato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</si>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</sst>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52"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679</v>
      </c>
      <c r="B1" s="435"/>
      <c r="C1" s="1" t="s">
        <v>0</v>
      </c>
      <c r="D1" s="2">
        <v>2026</v>
      </c>
    </row>
    <row r="2" spans="1:4" x14ac:dyDescent="0.2">
      <c r="A2" s="435" t="s">
        <v>1</v>
      </c>
      <c r="B2" s="435"/>
      <c r="C2" s="1" t="s">
        <v>2</v>
      </c>
      <c r="D2" s="2" t="s">
        <v>3</v>
      </c>
    </row>
    <row r="3" spans="1:4" x14ac:dyDescent="0.2">
      <c r="A3" s="435" t="s">
        <v>680</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678</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17933098.289999999</v>
      </c>
      <c r="E32" s="401">
        <v>16365234.08</v>
      </c>
    </row>
    <row r="33" spans="1:5" ht="11.25" customHeight="1" x14ac:dyDescent="0.2">
      <c r="A33" s="62"/>
      <c r="B33" s="26"/>
      <c r="C33" s="26"/>
      <c r="D33" s="403"/>
      <c r="E33" s="403"/>
    </row>
    <row r="34" spans="1:5" ht="11.25" customHeight="1" x14ac:dyDescent="0.2">
      <c r="A34" s="43" t="s">
        <v>269</v>
      </c>
      <c r="B34" s="26"/>
      <c r="C34" s="26"/>
      <c r="D34" s="401">
        <f>D32+D3</f>
        <v>17933098.289999999</v>
      </c>
      <c r="E34" s="401">
        <f>E32+E3</f>
        <v>16365234.08</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720</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29468919.289999999</v>
      </c>
      <c r="C4" s="227">
        <v>0</v>
      </c>
      <c r="D4" s="227">
        <f>B4+C4</f>
        <v>29468919.289999999</v>
      </c>
      <c r="E4" s="227">
        <v>26250837.890000001</v>
      </c>
      <c r="F4" s="227">
        <v>26250837.829999998</v>
      </c>
      <c r="G4" s="227">
        <f>F4-B4</f>
        <v>-3218081.4600000009</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738965.69</v>
      </c>
      <c r="C6" s="231">
        <v>0</v>
      </c>
      <c r="D6" s="231">
        <f t="shared" si="0"/>
        <v>738965.69</v>
      </c>
      <c r="E6" s="231">
        <v>364630.25</v>
      </c>
      <c r="F6" s="231">
        <v>364630.29</v>
      </c>
      <c r="G6" s="231">
        <f t="shared" si="1"/>
        <v>-374335.39999999997</v>
      </c>
      <c r="H6" s="228" t="s">
        <v>405</v>
      </c>
    </row>
    <row r="7" spans="1:8" ht="10.15" customHeight="1" x14ac:dyDescent="0.25">
      <c r="A7" s="226" t="s">
        <v>107</v>
      </c>
      <c r="B7" s="231">
        <v>23241470.620000001</v>
      </c>
      <c r="C7" s="231">
        <v>0</v>
      </c>
      <c r="D7" s="231">
        <f t="shared" si="0"/>
        <v>23241470.620000001</v>
      </c>
      <c r="E7" s="231">
        <v>5913151.7599999998</v>
      </c>
      <c r="F7" s="231">
        <v>5891821.7999999998</v>
      </c>
      <c r="G7" s="231">
        <f t="shared" si="1"/>
        <v>-17349648.82</v>
      </c>
      <c r="H7" s="228" t="s">
        <v>406</v>
      </c>
    </row>
    <row r="8" spans="1:8" ht="10.15" customHeight="1" x14ac:dyDescent="0.25">
      <c r="A8" s="226" t="s">
        <v>108</v>
      </c>
      <c r="B8" s="231">
        <v>3010541.47</v>
      </c>
      <c r="C8" s="231">
        <v>0</v>
      </c>
      <c r="D8" s="231">
        <f t="shared" si="0"/>
        <v>3010541.47</v>
      </c>
      <c r="E8" s="231">
        <v>844317.57</v>
      </c>
      <c r="F8" s="231">
        <v>844317.58</v>
      </c>
      <c r="G8" s="231">
        <f t="shared" si="1"/>
        <v>-2166223.89</v>
      </c>
      <c r="H8" s="228" t="s">
        <v>407</v>
      </c>
    </row>
    <row r="9" spans="1:8" ht="10.15" customHeight="1" x14ac:dyDescent="0.25">
      <c r="A9" s="230" t="s">
        <v>109</v>
      </c>
      <c r="B9" s="231">
        <v>1852246.45</v>
      </c>
      <c r="C9" s="231">
        <v>0</v>
      </c>
      <c r="D9" s="231">
        <f t="shared" si="0"/>
        <v>1852246.45</v>
      </c>
      <c r="E9" s="231">
        <v>778918.57</v>
      </c>
      <c r="F9" s="231">
        <v>778918.54</v>
      </c>
      <c r="G9" s="231">
        <f t="shared" si="1"/>
        <v>-1073327.9099999999</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239986694.84</v>
      </c>
      <c r="C11" s="231">
        <v>20267051.550000001</v>
      </c>
      <c r="D11" s="231">
        <f t="shared" si="0"/>
        <v>260253746.39000002</v>
      </c>
      <c r="E11" s="231">
        <v>67430066.180000007</v>
      </c>
      <c r="F11" s="231">
        <v>67430066.180000007</v>
      </c>
      <c r="G11" s="231">
        <f t="shared" si="1"/>
        <v>-172556628.66</v>
      </c>
      <c r="H11" s="228" t="s">
        <v>411</v>
      </c>
    </row>
    <row r="12" spans="1:8" ht="22.9" customHeight="1" x14ac:dyDescent="0.25">
      <c r="A12" s="226" t="s">
        <v>113</v>
      </c>
      <c r="B12" s="231">
        <v>358840.03</v>
      </c>
      <c r="C12" s="231">
        <v>1416678.6</v>
      </c>
      <c r="D12" s="231">
        <f t="shared" si="0"/>
        <v>1775518.6300000001</v>
      </c>
      <c r="E12" s="231">
        <v>1523145.63</v>
      </c>
      <c r="F12" s="231">
        <v>1523145.63</v>
      </c>
      <c r="G12" s="231">
        <f t="shared" si="1"/>
        <v>1164305.5999999999</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298657678.38999999</v>
      </c>
      <c r="C15" s="234">
        <f>SUM(C4:C13)</f>
        <v>21683730.150000002</v>
      </c>
      <c r="D15" s="234">
        <f t="shared" ref="D15:G15" si="2">SUM(D4:D13)</f>
        <v>320341408.54000002</v>
      </c>
      <c r="E15" s="234">
        <f t="shared" si="2"/>
        <v>103105067.84999999</v>
      </c>
      <c r="F15" s="235">
        <f t="shared" si="2"/>
        <v>103083737.84999999</v>
      </c>
      <c r="G15" s="236">
        <f t="shared" si="2"/>
        <v>-195573940.53999999</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298657678.38999999</v>
      </c>
      <c r="C19" s="246">
        <f t="shared" si="3"/>
        <v>21683730.150000002</v>
      </c>
      <c r="D19" s="246">
        <f t="shared" si="3"/>
        <v>320341408.54000002</v>
      </c>
      <c r="E19" s="246">
        <f t="shared" si="3"/>
        <v>103105067.84999999</v>
      </c>
      <c r="F19" s="246">
        <f t="shared" si="3"/>
        <v>103083737.84999999</v>
      </c>
      <c r="G19" s="246">
        <f t="shared" si="3"/>
        <v>-195573940.53999999</v>
      </c>
      <c r="H19" s="228" t="s">
        <v>415</v>
      </c>
    </row>
    <row r="20" spans="1:8" x14ac:dyDescent="0.25">
      <c r="A20" s="247" t="s">
        <v>104</v>
      </c>
      <c r="B20" s="248">
        <v>29468919.289999999</v>
      </c>
      <c r="C20" s="248">
        <v>0</v>
      </c>
      <c r="D20" s="248">
        <f t="shared" ref="D20:D27" si="4">B20+C20</f>
        <v>29468919.289999999</v>
      </c>
      <c r="E20" s="248">
        <v>26250837.890000001</v>
      </c>
      <c r="F20" s="248">
        <v>26250837.829999998</v>
      </c>
      <c r="G20" s="248">
        <f t="shared" ref="G20:G27" si="5">F20-B20</f>
        <v>-3218081.4600000009</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738965.69</v>
      </c>
      <c r="C22" s="248">
        <v>0</v>
      </c>
      <c r="D22" s="248">
        <f t="shared" si="4"/>
        <v>738965.69</v>
      </c>
      <c r="E22" s="248">
        <v>364630.25</v>
      </c>
      <c r="F22" s="248">
        <v>364630.29</v>
      </c>
      <c r="G22" s="248">
        <f t="shared" si="5"/>
        <v>-374335.39999999997</v>
      </c>
      <c r="H22" s="228" t="s">
        <v>405</v>
      </c>
    </row>
    <row r="23" spans="1:8" ht="10.15" customHeight="1" x14ac:dyDescent="0.25">
      <c r="A23" s="247" t="s">
        <v>107</v>
      </c>
      <c r="B23" s="248">
        <v>23241470.620000001</v>
      </c>
      <c r="C23" s="248">
        <v>0</v>
      </c>
      <c r="D23" s="248">
        <f t="shared" si="4"/>
        <v>23241470.620000001</v>
      </c>
      <c r="E23" s="248">
        <v>5913151.7599999998</v>
      </c>
      <c r="F23" s="248">
        <v>5891821.7999999998</v>
      </c>
      <c r="G23" s="248">
        <f t="shared" si="5"/>
        <v>-17349648.82</v>
      </c>
      <c r="H23" s="228" t="s">
        <v>406</v>
      </c>
    </row>
    <row r="24" spans="1:8" ht="13.15" customHeight="1" x14ac:dyDescent="0.25">
      <c r="A24" s="247" t="s">
        <v>417</v>
      </c>
      <c r="B24" s="248">
        <v>3010541.47</v>
      </c>
      <c r="C24" s="248">
        <v>0</v>
      </c>
      <c r="D24" s="248">
        <f t="shared" si="4"/>
        <v>3010541.47</v>
      </c>
      <c r="E24" s="248">
        <v>844317.57</v>
      </c>
      <c r="F24" s="248">
        <v>844317.58</v>
      </c>
      <c r="G24" s="248">
        <f t="shared" si="5"/>
        <v>-2166223.89</v>
      </c>
      <c r="H24" s="228" t="s">
        <v>407</v>
      </c>
    </row>
    <row r="25" spans="1:8" x14ac:dyDescent="0.25">
      <c r="A25" s="247" t="s">
        <v>418</v>
      </c>
      <c r="B25" s="248">
        <v>1852246.45</v>
      </c>
      <c r="C25" s="248">
        <v>0</v>
      </c>
      <c r="D25" s="248">
        <f t="shared" si="4"/>
        <v>1852246.45</v>
      </c>
      <c r="E25" s="248">
        <v>778918.57</v>
      </c>
      <c r="F25" s="248">
        <v>778918.54</v>
      </c>
      <c r="G25" s="248">
        <f t="shared" si="5"/>
        <v>-1073327.9099999999</v>
      </c>
      <c r="H25" s="228" t="s">
        <v>408</v>
      </c>
    </row>
    <row r="26" spans="1:8" ht="20.65" customHeight="1" x14ac:dyDescent="0.25">
      <c r="A26" s="247" t="s">
        <v>112</v>
      </c>
      <c r="B26" s="248">
        <v>239986694.84</v>
      </c>
      <c r="C26" s="248">
        <v>20267051.550000001</v>
      </c>
      <c r="D26" s="248">
        <f t="shared" si="4"/>
        <v>260253746.39000002</v>
      </c>
      <c r="E26" s="248">
        <v>67430066.180000007</v>
      </c>
      <c r="F26" s="248">
        <v>67430066.180000007</v>
      </c>
      <c r="G26" s="248">
        <f t="shared" si="5"/>
        <v>-172556628.66</v>
      </c>
      <c r="H26" s="228" t="s">
        <v>411</v>
      </c>
    </row>
    <row r="27" spans="1:8" ht="20.65" customHeight="1" x14ac:dyDescent="0.25">
      <c r="A27" s="247" t="s">
        <v>113</v>
      </c>
      <c r="B27" s="248">
        <v>358840.03</v>
      </c>
      <c r="C27" s="248">
        <v>1416678.6</v>
      </c>
      <c r="D27" s="248">
        <f t="shared" si="4"/>
        <v>1775518.6300000001</v>
      </c>
      <c r="E27" s="248">
        <v>1523145.63</v>
      </c>
      <c r="F27" s="248">
        <v>1523145.63</v>
      </c>
      <c r="G27" s="248">
        <f t="shared" si="5"/>
        <v>1164305.5999999999</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0</v>
      </c>
      <c r="C29" s="251">
        <f t="shared" si="6"/>
        <v>0</v>
      </c>
      <c r="D29" s="251">
        <f t="shared" si="6"/>
        <v>0</v>
      </c>
      <c r="E29" s="251">
        <f t="shared" si="6"/>
        <v>0</v>
      </c>
      <c r="F29" s="251">
        <f t="shared" si="6"/>
        <v>0</v>
      </c>
      <c r="G29" s="251">
        <f t="shared" si="6"/>
        <v>0</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0</v>
      </c>
      <c r="C32" s="248">
        <v>0</v>
      </c>
      <c r="D32" s="248">
        <f>B32+C32</f>
        <v>0</v>
      </c>
      <c r="E32" s="248">
        <v>0</v>
      </c>
      <c r="F32" s="248">
        <v>0</v>
      </c>
      <c r="G32" s="248">
        <f t="shared" si="7"/>
        <v>0</v>
      </c>
      <c r="H32" s="228" t="s">
        <v>410</v>
      </c>
    </row>
    <row r="33" spans="1:8" ht="21.4"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298657678.38999999</v>
      </c>
      <c r="C38" s="234">
        <f t="shared" ref="C38:G38" si="9">SUM(C35+C29+C19)</f>
        <v>21683730.150000002</v>
      </c>
      <c r="D38" s="234">
        <f t="shared" si="9"/>
        <v>320341408.54000002</v>
      </c>
      <c r="E38" s="234">
        <f t="shared" si="9"/>
        <v>103105067.84999999</v>
      </c>
      <c r="F38" s="234">
        <f t="shared" si="9"/>
        <v>103083737.84999999</v>
      </c>
      <c r="G38" s="236">
        <f t="shared" si="9"/>
        <v>-195573940.53999999</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zoomScale="71" workbookViewId="0">
      <selection activeCell="A39" sqref="A39:J3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718</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683</v>
      </c>
      <c r="B5" s="266">
        <v>3560152.77</v>
      </c>
      <c r="C5" s="266">
        <v>0</v>
      </c>
      <c r="D5" s="266">
        <f>B5+C5</f>
        <v>3560152.77</v>
      </c>
      <c r="E5" s="266">
        <v>440367.83</v>
      </c>
      <c r="F5" s="266">
        <v>420193.31</v>
      </c>
      <c r="G5" s="266">
        <f>D5-E5</f>
        <v>3119784.94</v>
      </c>
    </row>
    <row r="6" spans="1:7" x14ac:dyDescent="0.25">
      <c r="A6" s="265" t="s">
        <v>684</v>
      </c>
      <c r="B6" s="266">
        <v>29132490.190000001</v>
      </c>
      <c r="C6" s="266">
        <v>349651.76</v>
      </c>
      <c r="D6" s="266">
        <f t="shared" ref="D6:D40" si="0">B6+C6</f>
        <v>29482141.950000003</v>
      </c>
      <c r="E6" s="266">
        <v>10461110.210000001</v>
      </c>
      <c r="F6" s="266">
        <v>10243752.529999999</v>
      </c>
      <c r="G6" s="266">
        <f t="shared" ref="G6:G40" si="1">D6-E6</f>
        <v>19021031.740000002</v>
      </c>
    </row>
    <row r="7" spans="1:7" x14ac:dyDescent="0.25">
      <c r="A7" s="265" t="s">
        <v>685</v>
      </c>
      <c r="B7" s="266">
        <v>2603896.64</v>
      </c>
      <c r="C7" s="266">
        <v>1000000</v>
      </c>
      <c r="D7" s="266">
        <f t="shared" si="0"/>
        <v>3603896.64</v>
      </c>
      <c r="E7" s="266">
        <v>2022109.5</v>
      </c>
      <c r="F7" s="266">
        <v>2018412.99</v>
      </c>
      <c r="G7" s="266">
        <f t="shared" si="1"/>
        <v>1581787.1400000001</v>
      </c>
    </row>
    <row r="8" spans="1:7" x14ac:dyDescent="0.25">
      <c r="A8" s="265" t="s">
        <v>686</v>
      </c>
      <c r="B8" s="266">
        <v>5110228.53</v>
      </c>
      <c r="C8" s="266">
        <v>9661.18</v>
      </c>
      <c r="D8" s="266">
        <f t="shared" si="0"/>
        <v>5119889.71</v>
      </c>
      <c r="E8" s="266">
        <v>311527.34000000003</v>
      </c>
      <c r="F8" s="266">
        <v>293714.98</v>
      </c>
      <c r="G8" s="266">
        <f t="shared" si="1"/>
        <v>4808362.37</v>
      </c>
    </row>
    <row r="9" spans="1:7" x14ac:dyDescent="0.25">
      <c r="A9" s="265" t="s">
        <v>687</v>
      </c>
      <c r="B9" s="266">
        <v>3430394.45</v>
      </c>
      <c r="C9" s="266">
        <v>46322.36</v>
      </c>
      <c r="D9" s="266">
        <f t="shared" si="0"/>
        <v>3476716.81</v>
      </c>
      <c r="E9" s="266">
        <v>711170.05</v>
      </c>
      <c r="F9" s="266">
        <v>706132.57</v>
      </c>
      <c r="G9" s="266">
        <f t="shared" si="1"/>
        <v>2765546.76</v>
      </c>
    </row>
    <row r="10" spans="1:7" x14ac:dyDescent="0.25">
      <c r="A10" s="265" t="s">
        <v>688</v>
      </c>
      <c r="B10" s="266">
        <v>5905003.46</v>
      </c>
      <c r="C10" s="266">
        <v>90000</v>
      </c>
      <c r="D10" s="266">
        <f t="shared" si="0"/>
        <v>5995003.46</v>
      </c>
      <c r="E10" s="266">
        <v>1145393.74</v>
      </c>
      <c r="F10" s="266">
        <v>1139419.3</v>
      </c>
      <c r="G10" s="266">
        <f t="shared" si="1"/>
        <v>4849609.72</v>
      </c>
    </row>
    <row r="11" spans="1:7" x14ac:dyDescent="0.25">
      <c r="A11" s="265" t="s">
        <v>689</v>
      </c>
      <c r="B11" s="266">
        <v>3150388.26</v>
      </c>
      <c r="C11" s="266">
        <v>0</v>
      </c>
      <c r="D11" s="266">
        <f t="shared" si="0"/>
        <v>3150388.26</v>
      </c>
      <c r="E11" s="266">
        <v>598519.78</v>
      </c>
      <c r="F11" s="266">
        <v>593916.67000000004</v>
      </c>
      <c r="G11" s="266">
        <f t="shared" si="1"/>
        <v>2551868.4799999995</v>
      </c>
    </row>
    <row r="12" spans="1:7" x14ac:dyDescent="0.25">
      <c r="A12" s="265" t="s">
        <v>690</v>
      </c>
      <c r="B12" s="266">
        <v>1492818.27</v>
      </c>
      <c r="C12" s="266">
        <v>650000</v>
      </c>
      <c r="D12" s="266">
        <f t="shared" ref="D12" si="2">B12+C12</f>
        <v>2142818.27</v>
      </c>
      <c r="E12" s="266">
        <v>275949.09999999998</v>
      </c>
      <c r="F12" s="266">
        <v>274468.94</v>
      </c>
      <c r="G12" s="266">
        <f t="shared" ref="G12" si="3">D12-E12</f>
        <v>1866869.17</v>
      </c>
    </row>
    <row r="13" spans="1:7" x14ac:dyDescent="0.25">
      <c r="A13" s="265" t="s">
        <v>691</v>
      </c>
      <c r="B13" s="266">
        <v>2290920.52</v>
      </c>
      <c r="C13" s="266">
        <v>9605.3799999999992</v>
      </c>
      <c r="D13" s="266">
        <f t="shared" ref="D13" si="4">B13+C13</f>
        <v>2300525.9</v>
      </c>
      <c r="E13" s="266">
        <v>398210.18</v>
      </c>
      <c r="F13" s="266">
        <v>395091.54</v>
      </c>
      <c r="G13" s="266">
        <f t="shared" ref="G13" si="5">D13-E13</f>
        <v>1902315.72</v>
      </c>
    </row>
    <row r="14" spans="1:7" x14ac:dyDescent="0.25">
      <c r="A14" s="265" t="s">
        <v>692</v>
      </c>
      <c r="B14" s="266">
        <v>3001405.8</v>
      </c>
      <c r="C14" s="266">
        <v>0</v>
      </c>
      <c r="D14" s="266">
        <f t="shared" ref="D14" si="6">B14+C14</f>
        <v>3001405.8</v>
      </c>
      <c r="E14" s="266">
        <v>616862.81000000006</v>
      </c>
      <c r="F14" s="266">
        <v>613548.41</v>
      </c>
      <c r="G14" s="266">
        <f t="shared" ref="G14" si="7">D14-E14</f>
        <v>2384542.9899999998</v>
      </c>
    </row>
    <row r="15" spans="1:7" x14ac:dyDescent="0.25">
      <c r="A15" s="265" t="s">
        <v>693</v>
      </c>
      <c r="B15" s="266">
        <v>22356363.27</v>
      </c>
      <c r="C15" s="266">
        <v>43142.35</v>
      </c>
      <c r="D15" s="266">
        <f t="shared" ref="D15" si="8">B15+C15</f>
        <v>22399505.620000001</v>
      </c>
      <c r="E15" s="266">
        <v>2922313.69</v>
      </c>
      <c r="F15" s="266">
        <v>2750633.24</v>
      </c>
      <c r="G15" s="266">
        <f t="shared" ref="G15" si="9">D15-E15</f>
        <v>19477191.93</v>
      </c>
    </row>
    <row r="16" spans="1:7" x14ac:dyDescent="0.25">
      <c r="A16" s="265" t="s">
        <v>694</v>
      </c>
      <c r="B16" s="266">
        <v>540254.94999999995</v>
      </c>
      <c r="C16" s="266">
        <v>0</v>
      </c>
      <c r="D16" s="266">
        <f t="shared" ref="D16" si="10">B16+C16</f>
        <v>540254.94999999995</v>
      </c>
      <c r="E16" s="266">
        <v>103209.14</v>
      </c>
      <c r="F16" s="266">
        <v>102642.66</v>
      </c>
      <c r="G16" s="266">
        <f t="shared" ref="G16" si="11">D16-E16</f>
        <v>437045.80999999994</v>
      </c>
    </row>
    <row r="17" spans="1:7" x14ac:dyDescent="0.25">
      <c r="A17" s="265" t="s">
        <v>695</v>
      </c>
      <c r="B17" s="266">
        <v>1535218.26</v>
      </c>
      <c r="C17" s="266">
        <v>9605.3799999999992</v>
      </c>
      <c r="D17" s="266">
        <f t="shared" ref="D17" si="12">B17+C17</f>
        <v>1544823.64</v>
      </c>
      <c r="E17" s="266">
        <v>258574.01</v>
      </c>
      <c r="F17" s="266">
        <v>257137.29</v>
      </c>
      <c r="G17" s="266">
        <f t="shared" ref="G17" si="13">D17-E17</f>
        <v>1286249.6299999999</v>
      </c>
    </row>
    <row r="18" spans="1:7" x14ac:dyDescent="0.25">
      <c r="A18" s="265" t="s">
        <v>696</v>
      </c>
      <c r="B18" s="266">
        <v>1618758.3</v>
      </c>
      <c r="C18" s="266">
        <v>0</v>
      </c>
      <c r="D18" s="266">
        <f t="shared" ref="D18" si="14">B18+C18</f>
        <v>1618758.3</v>
      </c>
      <c r="E18" s="266">
        <v>243151.53</v>
      </c>
      <c r="F18" s="266">
        <v>238856.73</v>
      </c>
      <c r="G18" s="266">
        <f t="shared" ref="G18" si="15">D18-E18</f>
        <v>1375606.77</v>
      </c>
    </row>
    <row r="19" spans="1:7" x14ac:dyDescent="0.25">
      <c r="A19" s="265" t="s">
        <v>697</v>
      </c>
      <c r="B19" s="266">
        <v>2891447.26</v>
      </c>
      <c r="C19" s="266">
        <v>2315033.79</v>
      </c>
      <c r="D19" s="266">
        <f t="shared" ref="D19" si="16">B19+C19</f>
        <v>5206481.05</v>
      </c>
      <c r="E19" s="266">
        <v>2798976.46</v>
      </c>
      <c r="F19" s="266">
        <v>2791353.75</v>
      </c>
      <c r="G19" s="266">
        <f t="shared" ref="G19" si="17">D19-E19</f>
        <v>2407504.59</v>
      </c>
    </row>
    <row r="20" spans="1:7" x14ac:dyDescent="0.25">
      <c r="A20" s="265" t="s">
        <v>698</v>
      </c>
      <c r="B20" s="266">
        <v>2269479.7400000002</v>
      </c>
      <c r="C20" s="266">
        <v>0</v>
      </c>
      <c r="D20" s="266">
        <f t="shared" ref="D20" si="18">B20+C20</f>
        <v>2269479.7400000002</v>
      </c>
      <c r="E20" s="266">
        <v>263062.53999999998</v>
      </c>
      <c r="F20" s="266">
        <v>258358.03</v>
      </c>
      <c r="G20" s="266">
        <f t="shared" ref="G20" si="19">D20-E20</f>
        <v>2006417.2000000002</v>
      </c>
    </row>
    <row r="21" spans="1:7" x14ac:dyDescent="0.25">
      <c r="A21" s="265" t="s">
        <v>699</v>
      </c>
      <c r="B21" s="266">
        <v>6141877.8899999997</v>
      </c>
      <c r="C21" s="266">
        <v>0</v>
      </c>
      <c r="D21" s="266">
        <f t="shared" ref="D21" si="20">B21+C21</f>
        <v>6141877.8899999997</v>
      </c>
      <c r="E21" s="266">
        <v>242172.32</v>
      </c>
      <c r="F21" s="266">
        <v>234772.51</v>
      </c>
      <c r="G21" s="266">
        <f t="shared" ref="G21" si="21">D21-E21</f>
        <v>5899705.5699999994</v>
      </c>
    </row>
    <row r="22" spans="1:7" x14ac:dyDescent="0.25">
      <c r="A22" s="265" t="s">
        <v>700</v>
      </c>
      <c r="B22" s="266">
        <v>2271007.6</v>
      </c>
      <c r="C22" s="266">
        <v>0</v>
      </c>
      <c r="D22" s="266">
        <f t="shared" ref="D22" si="22">B22+C22</f>
        <v>2271007.6</v>
      </c>
      <c r="E22" s="266">
        <v>400126.01</v>
      </c>
      <c r="F22" s="266">
        <v>397501.29</v>
      </c>
      <c r="G22" s="266">
        <f t="shared" ref="G22" si="23">D22-E22</f>
        <v>1870881.59</v>
      </c>
    </row>
    <row r="23" spans="1:7" x14ac:dyDescent="0.25">
      <c r="A23" s="265" t="s">
        <v>701</v>
      </c>
      <c r="B23" s="266">
        <v>2192034.8199999998</v>
      </c>
      <c r="C23" s="266">
        <v>11178.99</v>
      </c>
      <c r="D23" s="266">
        <f t="shared" ref="D23" si="24">B23+C23</f>
        <v>2203213.81</v>
      </c>
      <c r="E23" s="266">
        <v>392975.03</v>
      </c>
      <c r="F23" s="266">
        <v>385569.3</v>
      </c>
      <c r="G23" s="266">
        <f t="shared" ref="G23" si="25">D23-E23</f>
        <v>1810238.78</v>
      </c>
    </row>
    <row r="24" spans="1:7" x14ac:dyDescent="0.25">
      <c r="A24" s="265" t="s">
        <v>702</v>
      </c>
      <c r="B24" s="266">
        <v>45404652.390000001</v>
      </c>
      <c r="C24" s="266">
        <v>40483361.039999999</v>
      </c>
      <c r="D24" s="266">
        <f t="shared" ref="D24" si="26">B24+C24</f>
        <v>85888013.430000007</v>
      </c>
      <c r="E24" s="266">
        <v>26696147.210000001</v>
      </c>
      <c r="F24" s="266">
        <v>26528574.199999999</v>
      </c>
      <c r="G24" s="266">
        <f t="shared" ref="G24" si="27">D24-E24</f>
        <v>59191866.220000006</v>
      </c>
    </row>
    <row r="25" spans="1:7" x14ac:dyDescent="0.25">
      <c r="A25" s="265" t="s">
        <v>703</v>
      </c>
      <c r="B25" s="266">
        <v>2687498.74</v>
      </c>
      <c r="C25" s="266">
        <v>0</v>
      </c>
      <c r="D25" s="266">
        <f t="shared" ref="D25" si="28">B25+C25</f>
        <v>2687498.74</v>
      </c>
      <c r="E25" s="266">
        <v>270554.57</v>
      </c>
      <c r="F25" s="266">
        <v>268912.21999999997</v>
      </c>
      <c r="G25" s="266">
        <f t="shared" ref="G25" si="29">D25-E25</f>
        <v>2416944.1700000004</v>
      </c>
    </row>
    <row r="26" spans="1:7" x14ac:dyDescent="0.25">
      <c r="A26" s="265" t="s">
        <v>704</v>
      </c>
      <c r="B26" s="266">
        <v>5539623.3200000003</v>
      </c>
      <c r="C26" s="266">
        <v>0</v>
      </c>
      <c r="D26" s="266">
        <f t="shared" ref="D26" si="30">B26+C26</f>
        <v>5539623.3200000003</v>
      </c>
      <c r="E26" s="266">
        <v>405178.78</v>
      </c>
      <c r="F26" s="266">
        <v>403669.02</v>
      </c>
      <c r="G26" s="266">
        <f t="shared" ref="G26" si="31">D26-E26</f>
        <v>5134444.54</v>
      </c>
    </row>
    <row r="27" spans="1:7" x14ac:dyDescent="0.25">
      <c r="A27" s="265" t="s">
        <v>705</v>
      </c>
      <c r="B27" s="266">
        <v>815216.67</v>
      </c>
      <c r="C27" s="266">
        <v>13981.33</v>
      </c>
      <c r="D27" s="266">
        <f t="shared" ref="D27" si="32">B27+C27</f>
        <v>829198</v>
      </c>
      <c r="E27" s="266">
        <v>157940.74</v>
      </c>
      <c r="F27" s="266">
        <v>157940.74</v>
      </c>
      <c r="G27" s="266">
        <f t="shared" ref="G27" si="33">D27-E27</f>
        <v>671257.26</v>
      </c>
    </row>
    <row r="28" spans="1:7" x14ac:dyDescent="0.25">
      <c r="A28" s="265" t="s">
        <v>706</v>
      </c>
      <c r="B28" s="266">
        <v>44481984.549999997</v>
      </c>
      <c r="C28" s="266">
        <v>0</v>
      </c>
      <c r="D28" s="266">
        <f t="shared" ref="D28" si="34">B28+C28</f>
        <v>44481984.549999997</v>
      </c>
      <c r="E28" s="266">
        <v>10595167.880000001</v>
      </c>
      <c r="F28" s="266">
        <v>10333435.92</v>
      </c>
      <c r="G28" s="266">
        <f t="shared" ref="G28" si="35">D28-E28</f>
        <v>33886816.669999994</v>
      </c>
    </row>
    <row r="29" spans="1:7" x14ac:dyDescent="0.25">
      <c r="A29" s="265" t="s">
        <v>707</v>
      </c>
      <c r="B29" s="266">
        <v>55746467.299999997</v>
      </c>
      <c r="C29" s="266">
        <v>1626095.17</v>
      </c>
      <c r="D29" s="266">
        <f t="shared" ref="D29" si="36">B29+C29</f>
        <v>57372562.469999999</v>
      </c>
      <c r="E29" s="266">
        <v>9346681.5700000003</v>
      </c>
      <c r="F29" s="266">
        <v>9270797.8800000008</v>
      </c>
      <c r="G29" s="266">
        <f t="shared" ref="G29" si="37">D29-E29</f>
        <v>48025880.899999999</v>
      </c>
    </row>
    <row r="30" spans="1:7" x14ac:dyDescent="0.25">
      <c r="A30" s="265" t="s">
        <v>708</v>
      </c>
      <c r="B30" s="266">
        <v>14546281.189999999</v>
      </c>
      <c r="C30" s="266">
        <v>0</v>
      </c>
      <c r="D30" s="266">
        <f t="shared" ref="D30" si="38">B30+C30</f>
        <v>14546281.189999999</v>
      </c>
      <c r="E30" s="266">
        <v>2624166.65</v>
      </c>
      <c r="F30" s="266">
        <v>2497731.0699999998</v>
      </c>
      <c r="G30" s="266">
        <f t="shared" ref="G30" si="39">D30-E30</f>
        <v>11922114.539999999</v>
      </c>
    </row>
    <row r="31" spans="1:7" x14ac:dyDescent="0.25">
      <c r="A31" s="265" t="s">
        <v>709</v>
      </c>
      <c r="B31" s="266">
        <v>3880734.3</v>
      </c>
      <c r="C31" s="266">
        <v>0</v>
      </c>
      <c r="D31" s="266">
        <f t="shared" ref="D31" si="40">B31+C31</f>
        <v>3880734.3</v>
      </c>
      <c r="E31" s="266">
        <v>657111.43000000005</v>
      </c>
      <c r="F31" s="266">
        <v>571252.18000000005</v>
      </c>
      <c r="G31" s="266">
        <f t="shared" ref="G31" si="41">D31-E31</f>
        <v>3223622.8699999996</v>
      </c>
    </row>
    <row r="32" spans="1:7" x14ac:dyDescent="0.25">
      <c r="A32" s="265" t="s">
        <v>710</v>
      </c>
      <c r="B32" s="266">
        <v>1567250.84</v>
      </c>
      <c r="C32" s="266">
        <v>0</v>
      </c>
      <c r="D32" s="266">
        <f t="shared" ref="D32" si="42">B32+C32</f>
        <v>1567250.84</v>
      </c>
      <c r="E32" s="266">
        <v>170232.8</v>
      </c>
      <c r="F32" s="266">
        <v>169451.68</v>
      </c>
      <c r="G32" s="266">
        <f t="shared" ref="G32" si="43">D32-E32</f>
        <v>1397018.04</v>
      </c>
    </row>
    <row r="33" spans="1:7" x14ac:dyDescent="0.25">
      <c r="A33" s="265" t="s">
        <v>711</v>
      </c>
      <c r="B33" s="266">
        <v>1131574.53</v>
      </c>
      <c r="C33" s="266">
        <v>0</v>
      </c>
      <c r="D33" s="266">
        <f t="shared" ref="D33" si="44">B33+C33</f>
        <v>1131574.53</v>
      </c>
      <c r="E33" s="266">
        <v>219456.57</v>
      </c>
      <c r="F33" s="266">
        <v>218530.01</v>
      </c>
      <c r="G33" s="266">
        <f t="shared" ref="G33" si="45">D33-E33</f>
        <v>912117.96</v>
      </c>
    </row>
    <row r="34" spans="1:7" x14ac:dyDescent="0.25">
      <c r="A34" s="265" t="s">
        <v>712</v>
      </c>
      <c r="B34" s="266">
        <v>376178.36</v>
      </c>
      <c r="C34" s="266">
        <v>50000</v>
      </c>
      <c r="D34" s="266">
        <f t="shared" ref="D34" si="46">B34+C34</f>
        <v>426178.36</v>
      </c>
      <c r="E34" s="266">
        <v>66317.100000000006</v>
      </c>
      <c r="F34" s="266">
        <v>65954.78</v>
      </c>
      <c r="G34" s="266">
        <f t="shared" ref="G34" si="47">D34-E34</f>
        <v>359861.26</v>
      </c>
    </row>
    <row r="35" spans="1:7" x14ac:dyDescent="0.25">
      <c r="A35" s="265" t="s">
        <v>713</v>
      </c>
      <c r="B35" s="266">
        <v>298721.40999999997</v>
      </c>
      <c r="C35" s="266">
        <v>0</v>
      </c>
      <c r="D35" s="266">
        <f t="shared" ref="D35" si="48">B35+C35</f>
        <v>298721.40999999997</v>
      </c>
      <c r="E35" s="266">
        <v>87450.73</v>
      </c>
      <c r="F35" s="266">
        <v>81228.69</v>
      </c>
      <c r="G35" s="266">
        <f t="shared" ref="G35" si="49">D35-E35</f>
        <v>211270.68</v>
      </c>
    </row>
    <row r="36" spans="1:7" x14ac:dyDescent="0.25">
      <c r="A36" s="265" t="s">
        <v>714</v>
      </c>
      <c r="B36" s="266">
        <v>870921.34</v>
      </c>
      <c r="C36" s="266">
        <v>15114.17</v>
      </c>
      <c r="D36" s="266">
        <f t="shared" ref="D36" si="50">B36+C36</f>
        <v>886035.51</v>
      </c>
      <c r="E36" s="266">
        <v>114281.82</v>
      </c>
      <c r="F36" s="266">
        <v>113489.22</v>
      </c>
      <c r="G36" s="266">
        <f t="shared" ref="G36" si="51">D36-E36</f>
        <v>771753.69</v>
      </c>
    </row>
    <row r="37" spans="1:7" x14ac:dyDescent="0.25">
      <c r="A37" s="265" t="s">
        <v>715</v>
      </c>
      <c r="B37" s="266">
        <v>8916466.3800000008</v>
      </c>
      <c r="C37" s="266">
        <v>0</v>
      </c>
      <c r="D37" s="266">
        <f t="shared" ref="D37" si="52">B37+C37</f>
        <v>8916466.3800000008</v>
      </c>
      <c r="E37" s="266">
        <v>2229116.61</v>
      </c>
      <c r="F37" s="266">
        <v>2229116.61</v>
      </c>
      <c r="G37" s="266">
        <f t="shared" ref="G37" si="53">D37-E37</f>
        <v>6687349.7700000014</v>
      </c>
    </row>
    <row r="38" spans="1:7" x14ac:dyDescent="0.25">
      <c r="A38" s="265" t="s">
        <v>716</v>
      </c>
      <c r="B38" s="266">
        <v>6227737.96</v>
      </c>
      <c r="C38" s="266">
        <v>0</v>
      </c>
      <c r="D38" s="266">
        <f t="shared" ref="D38" si="54">B38+C38</f>
        <v>6227737.96</v>
      </c>
      <c r="E38" s="266">
        <v>1556934.52</v>
      </c>
      <c r="F38" s="266">
        <v>1556934.52</v>
      </c>
      <c r="G38" s="266">
        <f t="shared" ref="G38" si="55">D38-E38</f>
        <v>4670803.4399999995</v>
      </c>
    </row>
    <row r="39" spans="1:7" x14ac:dyDescent="0.25">
      <c r="A39" s="265" t="s">
        <v>717</v>
      </c>
      <c r="B39" s="266">
        <v>4672228.13</v>
      </c>
      <c r="C39" s="266">
        <v>0</v>
      </c>
      <c r="D39" s="266">
        <f t="shared" ref="D39" si="56">B39+C39</f>
        <v>4672228.13</v>
      </c>
      <c r="E39" s="266">
        <v>1200000</v>
      </c>
      <c r="F39" s="266">
        <v>1200000</v>
      </c>
      <c r="G39" s="266">
        <f t="shared" ref="G39" si="57">D39-E39</f>
        <v>3472228.13</v>
      </c>
    </row>
    <row r="40" spans="1:7" x14ac:dyDescent="0.25">
      <c r="A40" s="265"/>
      <c r="B40" s="266">
        <v>0</v>
      </c>
      <c r="C40" s="266">
        <v>0</v>
      </c>
      <c r="D40" s="266">
        <f t="shared" si="0"/>
        <v>0</v>
      </c>
      <c r="E40" s="266">
        <v>0</v>
      </c>
      <c r="F40" s="266">
        <v>0</v>
      </c>
      <c r="G40" s="266">
        <f t="shared" si="1"/>
        <v>0</v>
      </c>
    </row>
    <row r="41" spans="1:7" x14ac:dyDescent="0.25">
      <c r="A41" s="267" t="s">
        <v>428</v>
      </c>
      <c r="B41" s="268">
        <f t="shared" ref="B41:C41" si="58">SUM(B5:B40)</f>
        <v>298657678.38999993</v>
      </c>
      <c r="C41" s="268">
        <f t="shared" si="58"/>
        <v>46722752.899999999</v>
      </c>
      <c r="D41" s="268">
        <f>SUM(D5:D40)</f>
        <v>345380431.2899999</v>
      </c>
      <c r="E41" s="268">
        <f t="shared" ref="E41:G41" si="59">SUM(E5:E40)</f>
        <v>81002520.25</v>
      </c>
      <c r="F41" s="268">
        <f t="shared" si="59"/>
        <v>79782494.780000016</v>
      </c>
      <c r="G41" s="268">
        <f t="shared" si="59"/>
        <v>264377911.03999996</v>
      </c>
    </row>
    <row r="44" spans="1:7" ht="55.15" customHeight="1" x14ac:dyDescent="0.25">
      <c r="A44" s="491" t="s">
        <v>718</v>
      </c>
      <c r="B44" s="492"/>
      <c r="C44" s="492"/>
      <c r="D44" s="492"/>
      <c r="E44" s="492"/>
      <c r="F44" s="492"/>
      <c r="G44" s="493"/>
    </row>
    <row r="45" spans="1:7" x14ac:dyDescent="0.25">
      <c r="A45" s="256"/>
      <c r="B45" s="257"/>
      <c r="C45" s="258"/>
      <c r="D45" s="259" t="s">
        <v>425</v>
      </c>
      <c r="E45" s="258"/>
      <c r="F45" s="260"/>
      <c r="G45" s="489" t="s">
        <v>426</v>
      </c>
    </row>
    <row r="46" spans="1:7" ht="22.5" x14ac:dyDescent="0.25">
      <c r="A46" s="261" t="s">
        <v>100</v>
      </c>
      <c r="B46" s="262" t="s">
        <v>341</v>
      </c>
      <c r="C46" s="262" t="s">
        <v>427</v>
      </c>
      <c r="D46" s="262" t="s">
        <v>402</v>
      </c>
      <c r="E46" s="262" t="s">
        <v>334</v>
      </c>
      <c r="F46" s="262" t="s">
        <v>347</v>
      </c>
      <c r="G46" s="490"/>
    </row>
    <row r="47" spans="1:7" x14ac:dyDescent="0.25">
      <c r="A47" s="269"/>
      <c r="B47" s="270"/>
      <c r="C47" s="270"/>
      <c r="D47" s="270"/>
      <c r="E47" s="270"/>
      <c r="F47" s="270"/>
      <c r="G47" s="270"/>
    </row>
    <row r="48" spans="1:7" x14ac:dyDescent="0.25">
      <c r="A48" s="271" t="s">
        <v>429</v>
      </c>
      <c r="B48" s="266">
        <v>0</v>
      </c>
      <c r="C48" s="266">
        <v>0</v>
      </c>
      <c r="D48" s="266">
        <f>B48+C48</f>
        <v>0</v>
      </c>
      <c r="E48" s="266">
        <v>0</v>
      </c>
      <c r="F48" s="266">
        <v>0</v>
      </c>
      <c r="G48" s="266">
        <f>D48-E48</f>
        <v>0</v>
      </c>
    </row>
    <row r="49" spans="1:7" x14ac:dyDescent="0.25">
      <c r="A49" s="271" t="s">
        <v>430</v>
      </c>
      <c r="B49" s="266">
        <v>0</v>
      </c>
      <c r="C49" s="266">
        <v>0</v>
      </c>
      <c r="D49" s="266">
        <f t="shared" ref="D49:D51" si="60">B49+C49</f>
        <v>0</v>
      </c>
      <c r="E49" s="266">
        <v>0</v>
      </c>
      <c r="F49" s="266">
        <v>0</v>
      </c>
      <c r="G49" s="266">
        <f t="shared" ref="G49:G51" si="61">D49-E49</f>
        <v>0</v>
      </c>
    </row>
    <row r="50" spans="1:7" x14ac:dyDescent="0.25">
      <c r="A50" s="271" t="s">
        <v>431</v>
      </c>
      <c r="B50" s="266">
        <v>0</v>
      </c>
      <c r="C50" s="266">
        <v>0</v>
      </c>
      <c r="D50" s="266">
        <f t="shared" si="60"/>
        <v>0</v>
      </c>
      <c r="E50" s="266">
        <v>0</v>
      </c>
      <c r="F50" s="266">
        <v>0</v>
      </c>
      <c r="G50" s="266">
        <f t="shared" si="61"/>
        <v>0</v>
      </c>
    </row>
    <row r="51" spans="1:7" x14ac:dyDescent="0.25">
      <c r="A51" s="271" t="s">
        <v>432</v>
      </c>
      <c r="B51" s="266">
        <v>0</v>
      </c>
      <c r="C51" s="266">
        <v>0</v>
      </c>
      <c r="D51" s="266">
        <f t="shared" si="60"/>
        <v>0</v>
      </c>
      <c r="E51" s="266">
        <v>0</v>
      </c>
      <c r="F51" s="266">
        <v>0</v>
      </c>
      <c r="G51" s="266">
        <f t="shared" si="61"/>
        <v>0</v>
      </c>
    </row>
    <row r="52" spans="1:7" x14ac:dyDescent="0.25">
      <c r="A52" s="271"/>
      <c r="B52" s="266"/>
      <c r="C52" s="266"/>
      <c r="D52" s="266"/>
      <c r="E52" s="266"/>
      <c r="F52" s="266"/>
      <c r="G52" s="266"/>
    </row>
    <row r="53" spans="1:7" x14ac:dyDescent="0.25">
      <c r="A53" s="267" t="s">
        <v>428</v>
      </c>
      <c r="B53" s="268">
        <f t="shared" ref="B53:G53" si="62">SUM(B48:B51)</f>
        <v>0</v>
      </c>
      <c r="C53" s="268">
        <f t="shared" si="62"/>
        <v>0</v>
      </c>
      <c r="D53" s="268">
        <f t="shared" si="62"/>
        <v>0</v>
      </c>
      <c r="E53" s="268">
        <f t="shared" si="62"/>
        <v>0</v>
      </c>
      <c r="F53" s="268">
        <f t="shared" si="62"/>
        <v>0</v>
      </c>
      <c r="G53" s="268">
        <f t="shared" si="62"/>
        <v>0</v>
      </c>
    </row>
    <row r="56" spans="1:7" ht="59.45" customHeight="1" x14ac:dyDescent="0.25">
      <c r="A56" s="494" t="s">
        <v>718</v>
      </c>
      <c r="B56" s="495"/>
      <c r="C56" s="495"/>
      <c r="D56" s="495"/>
      <c r="E56" s="495"/>
      <c r="F56" s="495"/>
      <c r="G56" s="496"/>
    </row>
    <row r="57" spans="1:7" x14ac:dyDescent="0.25">
      <c r="A57" s="256"/>
      <c r="B57" s="257"/>
      <c r="C57" s="258"/>
      <c r="D57" s="259" t="s">
        <v>425</v>
      </c>
      <c r="E57" s="258"/>
      <c r="F57" s="260"/>
      <c r="G57" s="489" t="s">
        <v>426</v>
      </c>
    </row>
    <row r="58" spans="1:7" ht="22.5" x14ac:dyDescent="0.25">
      <c r="A58" s="261" t="s">
        <v>100</v>
      </c>
      <c r="B58" s="262" t="s">
        <v>341</v>
      </c>
      <c r="C58" s="262" t="s">
        <v>427</v>
      </c>
      <c r="D58" s="262" t="s">
        <v>402</v>
      </c>
      <c r="E58" s="262" t="s">
        <v>334</v>
      </c>
      <c r="F58" s="262" t="s">
        <v>347</v>
      </c>
      <c r="G58" s="490"/>
    </row>
    <row r="59" spans="1:7" x14ac:dyDescent="0.25">
      <c r="A59" s="269"/>
      <c r="B59" s="270"/>
      <c r="C59" s="270"/>
      <c r="D59" s="270"/>
      <c r="E59" s="270"/>
      <c r="F59" s="270"/>
      <c r="G59" s="270"/>
    </row>
    <row r="60" spans="1:7" ht="30" x14ac:dyDescent="0.25">
      <c r="A60" s="272" t="s">
        <v>433</v>
      </c>
      <c r="B60" s="266">
        <v>0</v>
      </c>
      <c r="C60" s="266">
        <v>0</v>
      </c>
      <c r="D60" s="266">
        <f t="shared" ref="D60:D72" si="63">B60+C60</f>
        <v>0</v>
      </c>
      <c r="E60" s="266">
        <v>0</v>
      </c>
      <c r="F60" s="266">
        <v>0</v>
      </c>
      <c r="G60" s="266">
        <f t="shared" ref="G60:G72" si="64">D60-E60</f>
        <v>0</v>
      </c>
    </row>
    <row r="61" spans="1:7" x14ac:dyDescent="0.25">
      <c r="A61" s="272"/>
      <c r="B61" s="266"/>
      <c r="C61" s="266"/>
      <c r="D61" s="266"/>
      <c r="E61" s="266"/>
      <c r="F61" s="266"/>
      <c r="G61" s="266"/>
    </row>
    <row r="62" spans="1:7" x14ac:dyDescent="0.25">
      <c r="A62" s="272" t="s">
        <v>434</v>
      </c>
      <c r="B62" s="266">
        <v>0</v>
      </c>
      <c r="C62" s="266">
        <v>0</v>
      </c>
      <c r="D62" s="266">
        <f t="shared" si="63"/>
        <v>0</v>
      </c>
      <c r="E62" s="266">
        <v>0</v>
      </c>
      <c r="F62" s="266">
        <v>0</v>
      </c>
      <c r="G62" s="266">
        <f t="shared" si="64"/>
        <v>0</v>
      </c>
    </row>
    <row r="63" spans="1:7" x14ac:dyDescent="0.25">
      <c r="A63" s="272"/>
      <c r="B63" s="266"/>
      <c r="C63" s="266"/>
      <c r="D63" s="266"/>
      <c r="E63" s="266"/>
      <c r="F63" s="266"/>
      <c r="G63" s="266"/>
    </row>
    <row r="64" spans="1:7" ht="30" x14ac:dyDescent="0.25">
      <c r="A64" s="272" t="s">
        <v>435</v>
      </c>
      <c r="B64" s="266">
        <v>0</v>
      </c>
      <c r="C64" s="266">
        <v>0</v>
      </c>
      <c r="D64" s="266">
        <f t="shared" si="63"/>
        <v>0</v>
      </c>
      <c r="E64" s="266">
        <v>0</v>
      </c>
      <c r="F64" s="266">
        <v>0</v>
      </c>
      <c r="G64" s="266">
        <f t="shared" si="64"/>
        <v>0</v>
      </c>
    </row>
    <row r="65" spans="1:7" x14ac:dyDescent="0.25">
      <c r="A65" s="272"/>
      <c r="B65" s="266"/>
      <c r="C65" s="266"/>
      <c r="D65" s="266"/>
      <c r="E65" s="266"/>
      <c r="F65" s="266"/>
      <c r="G65" s="266"/>
    </row>
    <row r="66" spans="1:7" ht="30" x14ac:dyDescent="0.25">
      <c r="A66" s="272" t="s">
        <v>436</v>
      </c>
      <c r="B66" s="266">
        <v>0</v>
      </c>
      <c r="C66" s="266">
        <v>0</v>
      </c>
      <c r="D66" s="266">
        <f t="shared" si="63"/>
        <v>0</v>
      </c>
      <c r="E66" s="266">
        <v>0</v>
      </c>
      <c r="F66" s="266">
        <v>0</v>
      </c>
      <c r="G66" s="266">
        <f t="shared" si="64"/>
        <v>0</v>
      </c>
    </row>
    <row r="67" spans="1:7" x14ac:dyDescent="0.25">
      <c r="A67" s="272"/>
      <c r="B67" s="266"/>
      <c r="C67" s="266"/>
      <c r="D67" s="266"/>
      <c r="E67" s="266"/>
      <c r="F67" s="266"/>
      <c r="G67" s="266"/>
    </row>
    <row r="68" spans="1:7" ht="30" x14ac:dyDescent="0.25">
      <c r="A68" s="272" t="s">
        <v>437</v>
      </c>
      <c r="B68" s="266">
        <v>0</v>
      </c>
      <c r="C68" s="266">
        <v>0</v>
      </c>
      <c r="D68" s="266">
        <f t="shared" si="63"/>
        <v>0</v>
      </c>
      <c r="E68" s="266">
        <v>0</v>
      </c>
      <c r="F68" s="266">
        <v>0</v>
      </c>
      <c r="G68" s="266">
        <f t="shared" si="64"/>
        <v>0</v>
      </c>
    </row>
    <row r="69" spans="1:7" x14ac:dyDescent="0.25">
      <c r="A69" s="272"/>
      <c r="B69" s="266"/>
      <c r="C69" s="266"/>
      <c r="D69" s="266"/>
      <c r="E69" s="266"/>
      <c r="F69" s="266"/>
      <c r="G69" s="266"/>
    </row>
    <row r="70" spans="1:7" ht="30" x14ac:dyDescent="0.25">
      <c r="A70" s="272" t="s">
        <v>438</v>
      </c>
      <c r="B70" s="266">
        <v>0</v>
      </c>
      <c r="C70" s="266">
        <v>0</v>
      </c>
      <c r="D70" s="266">
        <f t="shared" ref="D70" si="65">B70+C70</f>
        <v>0</v>
      </c>
      <c r="E70" s="266">
        <v>0</v>
      </c>
      <c r="F70" s="266">
        <v>0</v>
      </c>
      <c r="G70" s="266">
        <f t="shared" ref="G70" si="66">D70-E70</f>
        <v>0</v>
      </c>
    </row>
    <row r="71" spans="1:7" x14ac:dyDescent="0.25">
      <c r="A71" s="272"/>
      <c r="B71" s="266"/>
      <c r="C71" s="266"/>
      <c r="D71" s="266"/>
      <c r="E71" s="266"/>
      <c r="F71" s="266"/>
      <c r="G71" s="266"/>
    </row>
    <row r="72" spans="1:7" ht="30" x14ac:dyDescent="0.25">
      <c r="A72" s="272" t="s">
        <v>439</v>
      </c>
      <c r="B72" s="266">
        <v>0</v>
      </c>
      <c r="C72" s="266">
        <v>0</v>
      </c>
      <c r="D72" s="266">
        <f t="shared" si="63"/>
        <v>0</v>
      </c>
      <c r="E72" s="266">
        <v>0</v>
      </c>
      <c r="F72" s="266">
        <v>0</v>
      </c>
      <c r="G72" s="266">
        <f t="shared" si="64"/>
        <v>0</v>
      </c>
    </row>
    <row r="73" spans="1:7" x14ac:dyDescent="0.25">
      <c r="A73" s="272"/>
      <c r="B73" s="266"/>
      <c r="C73" s="266"/>
      <c r="D73" s="266"/>
      <c r="E73" s="266"/>
      <c r="F73" s="266"/>
      <c r="G73" s="266"/>
    </row>
    <row r="74" spans="1:7" x14ac:dyDescent="0.25">
      <c r="A74" s="272" t="s">
        <v>440</v>
      </c>
      <c r="B74" s="266">
        <v>19816432.469999999</v>
      </c>
      <c r="C74" s="266">
        <v>0</v>
      </c>
      <c r="D74" s="266">
        <f t="shared" ref="D74" si="67">B74+C74</f>
        <v>19816432.469999999</v>
      </c>
      <c r="E74" s="266">
        <v>4986051.13</v>
      </c>
      <c r="F74" s="266">
        <v>4986051.13</v>
      </c>
      <c r="G74" s="266">
        <f t="shared" ref="G74" si="68">D74-E74</f>
        <v>14830381.34</v>
      </c>
    </row>
    <row r="75" spans="1:7" x14ac:dyDescent="0.25">
      <c r="A75" s="272"/>
      <c r="B75" s="266"/>
      <c r="C75" s="266"/>
      <c r="D75" s="266"/>
      <c r="E75" s="266"/>
      <c r="F75" s="266"/>
      <c r="G75" s="266"/>
    </row>
    <row r="76" spans="1:7" x14ac:dyDescent="0.25">
      <c r="A76" s="267" t="s">
        <v>428</v>
      </c>
      <c r="B76" s="268">
        <f t="shared" ref="B76:G76" si="69">SUM(B60:B74)</f>
        <v>19816432.469999999</v>
      </c>
      <c r="C76" s="268">
        <f t="shared" si="69"/>
        <v>0</v>
      </c>
      <c r="D76" s="268">
        <f t="shared" si="69"/>
        <v>19816432.469999999</v>
      </c>
      <c r="E76" s="268">
        <f t="shared" si="69"/>
        <v>4986051.13</v>
      </c>
      <c r="F76" s="268">
        <f t="shared" si="69"/>
        <v>4986051.13</v>
      </c>
      <c r="G76" s="268">
        <f t="shared" si="69"/>
        <v>14830381.34</v>
      </c>
    </row>
    <row r="78" spans="1:7" x14ac:dyDescent="0.25">
      <c r="A78" s="255" t="s">
        <v>441</v>
      </c>
    </row>
  </sheetData>
  <sheetProtection formatCells="0" formatColumns="0" formatRows="0" insertRows="0" deleteRows="0" autoFilter="0"/>
  <mergeCells count="6">
    <mergeCell ref="G57:G58"/>
    <mergeCell ref="A1:G1"/>
    <mergeCell ref="G2:G3"/>
    <mergeCell ref="A44:G44"/>
    <mergeCell ref="G45:G46"/>
    <mergeCell ref="A56:G56"/>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254261264.18000001</v>
      </c>
      <c r="C5" s="266">
        <v>5690397.2400000002</v>
      </c>
      <c r="D5" s="266">
        <f>B5+C5</f>
        <v>259951661.42000002</v>
      </c>
      <c r="E5" s="266">
        <v>53993687.579999998</v>
      </c>
      <c r="F5" s="266">
        <v>52835292.109999999</v>
      </c>
      <c r="G5" s="266">
        <f>D5-E5</f>
        <v>205957973.84000003</v>
      </c>
    </row>
    <row r="6" spans="1:7" x14ac:dyDescent="0.25">
      <c r="A6" s="273"/>
      <c r="B6" s="266"/>
      <c r="C6" s="266"/>
      <c r="D6" s="266"/>
      <c r="E6" s="266"/>
      <c r="F6" s="266"/>
      <c r="G6" s="266"/>
    </row>
    <row r="7" spans="1:7" ht="10.15" customHeight="1" x14ac:dyDescent="0.25">
      <c r="A7" s="273" t="s">
        <v>443</v>
      </c>
      <c r="B7" s="266">
        <v>37944948.979999997</v>
      </c>
      <c r="C7" s="266">
        <v>41032355.659999996</v>
      </c>
      <c r="D7" s="266">
        <f>B7+C7</f>
        <v>78977304.639999986</v>
      </c>
      <c r="E7" s="266">
        <v>25417856.109999999</v>
      </c>
      <c r="F7" s="266">
        <v>25356226.109999999</v>
      </c>
      <c r="G7" s="266">
        <f>D7-E7</f>
        <v>53559448.529999986</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6451465.2300000004</v>
      </c>
      <c r="C11" s="266">
        <v>0</v>
      </c>
      <c r="D11" s="266">
        <f>B11+C11</f>
        <v>6451465.2300000004</v>
      </c>
      <c r="E11" s="266">
        <v>1590976.56</v>
      </c>
      <c r="F11" s="266">
        <v>1590976.56</v>
      </c>
      <c r="G11" s="266">
        <f>D11-E11</f>
        <v>4860488.67</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298657678.39000005</v>
      </c>
      <c r="C15" s="278">
        <f t="shared" si="0"/>
        <v>46722752.899999999</v>
      </c>
      <c r="D15" s="278">
        <f t="shared" si="0"/>
        <v>345380431.29000002</v>
      </c>
      <c r="E15" s="278">
        <f t="shared" si="0"/>
        <v>81002520.25</v>
      </c>
      <c r="F15" s="278">
        <f t="shared" si="0"/>
        <v>79782494.780000001</v>
      </c>
      <c r="G15" s="278">
        <f t="shared" si="0"/>
        <v>264377911.03999999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opLeftCell="A7" zoomScale="90" zoomScaleNormal="90"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681</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140847336.75999999</v>
      </c>
      <c r="C4" s="280">
        <f>SUM(C5:C11)</f>
        <v>173635.19</v>
      </c>
      <c r="D4" s="280">
        <f>B4+C4</f>
        <v>141020971.94999999</v>
      </c>
      <c r="E4" s="280">
        <f>SUM(E5:E11)</f>
        <v>25898739.5</v>
      </c>
      <c r="F4" s="280">
        <f>SUM(F5:F11)</f>
        <v>25898739.5</v>
      </c>
      <c r="G4" s="280">
        <f>D4-E4</f>
        <v>115122232.44999999</v>
      </c>
    </row>
    <row r="5" spans="1:8" x14ac:dyDescent="0.25">
      <c r="A5" s="281" t="s">
        <v>445</v>
      </c>
      <c r="B5" s="266">
        <v>70926099.200000003</v>
      </c>
      <c r="C5" s="266">
        <v>65608.31</v>
      </c>
      <c r="D5" s="266">
        <f t="shared" ref="D5:D68" si="0">B5+C5</f>
        <v>70991707.510000005</v>
      </c>
      <c r="E5" s="266">
        <v>15577887.92</v>
      </c>
      <c r="F5" s="266">
        <v>15577887.92</v>
      </c>
      <c r="G5" s="266">
        <f t="shared" ref="G5:G68" si="1">D5-E5</f>
        <v>55413819.590000004</v>
      </c>
      <c r="H5" s="282">
        <v>1100</v>
      </c>
    </row>
    <row r="6" spans="1:8" x14ac:dyDescent="0.25">
      <c r="A6" s="281" t="s">
        <v>446</v>
      </c>
      <c r="B6" s="266">
        <v>1008400</v>
      </c>
      <c r="C6" s="266">
        <v>46400</v>
      </c>
      <c r="D6" s="266">
        <f t="shared" si="0"/>
        <v>1054800</v>
      </c>
      <c r="E6" s="266">
        <v>8740</v>
      </c>
      <c r="F6" s="266">
        <v>8740</v>
      </c>
      <c r="G6" s="266">
        <f t="shared" si="1"/>
        <v>1046060</v>
      </c>
      <c r="H6" s="282">
        <v>1200</v>
      </c>
    </row>
    <row r="7" spans="1:8" x14ac:dyDescent="0.25">
      <c r="A7" s="281" t="s">
        <v>447</v>
      </c>
      <c r="B7" s="266">
        <v>16698853.91</v>
      </c>
      <c r="C7" s="266">
        <v>14574.6</v>
      </c>
      <c r="D7" s="266">
        <f t="shared" si="0"/>
        <v>16713428.51</v>
      </c>
      <c r="E7" s="266">
        <v>82827.02</v>
      </c>
      <c r="F7" s="266">
        <v>82827.02</v>
      </c>
      <c r="G7" s="266">
        <f t="shared" si="1"/>
        <v>16630601.49</v>
      </c>
      <c r="H7" s="282">
        <v>1300</v>
      </c>
    </row>
    <row r="8" spans="1:8" x14ac:dyDescent="0.25">
      <c r="A8" s="281" t="s">
        <v>448</v>
      </c>
      <c r="B8" s="266">
        <v>740000</v>
      </c>
      <c r="C8" s="266">
        <v>0</v>
      </c>
      <c r="D8" s="266">
        <f t="shared" si="0"/>
        <v>740000</v>
      </c>
      <c r="E8" s="266">
        <v>0</v>
      </c>
      <c r="F8" s="266">
        <v>0</v>
      </c>
      <c r="G8" s="266">
        <f t="shared" si="1"/>
        <v>740000</v>
      </c>
      <c r="H8" s="282">
        <v>1400</v>
      </c>
    </row>
    <row r="9" spans="1:8" x14ac:dyDescent="0.25">
      <c r="A9" s="281" t="s">
        <v>449</v>
      </c>
      <c r="B9" s="266">
        <v>49873983.649999999</v>
      </c>
      <c r="C9" s="266">
        <v>47052.28</v>
      </c>
      <c r="D9" s="266">
        <f t="shared" si="0"/>
        <v>49921035.93</v>
      </c>
      <c r="E9" s="266">
        <v>10229284.560000001</v>
      </c>
      <c r="F9" s="266">
        <v>10229284.560000001</v>
      </c>
      <c r="G9" s="266">
        <f t="shared" si="1"/>
        <v>39691751.369999997</v>
      </c>
      <c r="H9" s="282">
        <v>1500</v>
      </c>
    </row>
    <row r="10" spans="1:8" x14ac:dyDescent="0.25">
      <c r="A10" s="281" t="s">
        <v>450</v>
      </c>
      <c r="B10" s="266">
        <v>1600000</v>
      </c>
      <c r="C10" s="266">
        <v>0</v>
      </c>
      <c r="D10" s="266">
        <f t="shared" si="0"/>
        <v>1600000</v>
      </c>
      <c r="E10" s="266">
        <v>0</v>
      </c>
      <c r="F10" s="266">
        <v>0</v>
      </c>
      <c r="G10" s="266">
        <f t="shared" si="1"/>
        <v>1600000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25166119.189999998</v>
      </c>
      <c r="C12" s="283">
        <f>SUM(C13:C21)</f>
        <v>1289747.28</v>
      </c>
      <c r="D12" s="283">
        <f t="shared" si="0"/>
        <v>26455866.469999999</v>
      </c>
      <c r="E12" s="283">
        <f>SUM(E13:E21)</f>
        <v>2894979.45</v>
      </c>
      <c r="F12" s="283">
        <f>SUM(F13:F21)</f>
        <v>2255039.5099999998</v>
      </c>
      <c r="G12" s="283">
        <f t="shared" si="1"/>
        <v>23560887.02</v>
      </c>
      <c r="H12" s="284">
        <v>0</v>
      </c>
    </row>
    <row r="13" spans="1:8" x14ac:dyDescent="0.25">
      <c r="A13" s="281" t="s">
        <v>452</v>
      </c>
      <c r="B13" s="266">
        <v>2089811.81</v>
      </c>
      <c r="C13" s="266">
        <v>59400</v>
      </c>
      <c r="D13" s="266">
        <f t="shared" si="0"/>
        <v>2149211.81</v>
      </c>
      <c r="E13" s="266">
        <v>169678.34</v>
      </c>
      <c r="F13" s="266">
        <v>84790.32</v>
      </c>
      <c r="G13" s="266">
        <f t="shared" si="1"/>
        <v>1979533.47</v>
      </c>
      <c r="H13" s="282">
        <v>2100</v>
      </c>
    </row>
    <row r="14" spans="1:8" x14ac:dyDescent="0.25">
      <c r="A14" s="281" t="s">
        <v>453</v>
      </c>
      <c r="B14" s="266">
        <v>912914.31</v>
      </c>
      <c r="C14" s="266">
        <v>6700</v>
      </c>
      <c r="D14" s="266">
        <f t="shared" si="0"/>
        <v>919614.31</v>
      </c>
      <c r="E14" s="266">
        <v>43083.22</v>
      </c>
      <c r="F14" s="266">
        <v>34230.54</v>
      </c>
      <c r="G14" s="266">
        <f t="shared" si="1"/>
        <v>876531.09000000008</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5363956.45</v>
      </c>
      <c r="C16" s="266">
        <v>-100000</v>
      </c>
      <c r="D16" s="266">
        <f t="shared" si="0"/>
        <v>5263956.45</v>
      </c>
      <c r="E16" s="266">
        <v>762557.9</v>
      </c>
      <c r="F16" s="266">
        <v>624584.27</v>
      </c>
      <c r="G16" s="266">
        <f t="shared" si="1"/>
        <v>4501398.55</v>
      </c>
      <c r="H16" s="282">
        <v>2400</v>
      </c>
    </row>
    <row r="17" spans="1:8" x14ac:dyDescent="0.25">
      <c r="A17" s="281" t="s">
        <v>456</v>
      </c>
      <c r="B17" s="266">
        <v>2712706.35</v>
      </c>
      <c r="C17" s="266">
        <v>0</v>
      </c>
      <c r="D17" s="266">
        <f t="shared" si="0"/>
        <v>2712706.35</v>
      </c>
      <c r="E17" s="266">
        <v>139787.70000000001</v>
      </c>
      <c r="F17" s="266">
        <v>104866.5</v>
      </c>
      <c r="G17" s="266">
        <f t="shared" si="1"/>
        <v>2572918.65</v>
      </c>
      <c r="H17" s="282">
        <v>2500</v>
      </c>
    </row>
    <row r="18" spans="1:8" x14ac:dyDescent="0.25">
      <c r="A18" s="281" t="s">
        <v>457</v>
      </c>
      <c r="B18" s="266">
        <v>10011482.76</v>
      </c>
      <c r="C18" s="266">
        <v>1308247.28</v>
      </c>
      <c r="D18" s="266">
        <f t="shared" si="0"/>
        <v>11319730.039999999</v>
      </c>
      <c r="E18" s="266">
        <v>1522297.14</v>
      </c>
      <c r="F18" s="266">
        <v>1180875.95</v>
      </c>
      <c r="G18" s="266">
        <f t="shared" si="1"/>
        <v>9797432.8999999985</v>
      </c>
      <c r="H18" s="282">
        <v>2600</v>
      </c>
    </row>
    <row r="19" spans="1:8" x14ac:dyDescent="0.25">
      <c r="A19" s="281" t="s">
        <v>458</v>
      </c>
      <c r="B19" s="266">
        <v>1515271.77</v>
      </c>
      <c r="C19" s="266">
        <v>0</v>
      </c>
      <c r="D19" s="266">
        <f t="shared" si="0"/>
        <v>1515271.77</v>
      </c>
      <c r="E19" s="266">
        <v>70833.929999999993</v>
      </c>
      <c r="F19" s="266">
        <v>61153.93</v>
      </c>
      <c r="G19" s="266">
        <f t="shared" si="1"/>
        <v>1444437.84</v>
      </c>
      <c r="H19" s="282">
        <v>2700</v>
      </c>
    </row>
    <row r="20" spans="1:8" x14ac:dyDescent="0.25">
      <c r="A20" s="281" t="s">
        <v>459</v>
      </c>
      <c r="B20" s="266">
        <v>230000</v>
      </c>
      <c r="C20" s="266">
        <v>0</v>
      </c>
      <c r="D20" s="266">
        <f t="shared" si="0"/>
        <v>230000</v>
      </c>
      <c r="E20" s="266">
        <v>0</v>
      </c>
      <c r="F20" s="266">
        <v>0</v>
      </c>
      <c r="G20" s="266">
        <f t="shared" si="1"/>
        <v>230000</v>
      </c>
      <c r="H20" s="282">
        <v>2800</v>
      </c>
    </row>
    <row r="21" spans="1:8" x14ac:dyDescent="0.25">
      <c r="A21" s="281" t="s">
        <v>460</v>
      </c>
      <c r="B21" s="266">
        <v>2329975.7400000002</v>
      </c>
      <c r="C21" s="266">
        <v>15400</v>
      </c>
      <c r="D21" s="266">
        <f t="shared" si="0"/>
        <v>2345375.7400000002</v>
      </c>
      <c r="E21" s="266">
        <v>186741.22</v>
      </c>
      <c r="F21" s="266">
        <v>164538</v>
      </c>
      <c r="G21" s="266">
        <f t="shared" si="1"/>
        <v>2158634.52</v>
      </c>
      <c r="H21" s="282">
        <v>2900</v>
      </c>
    </row>
    <row r="22" spans="1:8" x14ac:dyDescent="0.25">
      <c r="A22" s="279" t="s">
        <v>125</v>
      </c>
      <c r="B22" s="283">
        <f>SUM(B23:B31)</f>
        <v>52610365.189999998</v>
      </c>
      <c r="C22" s="283">
        <f>SUM(C23:C31)</f>
        <v>1461980.98</v>
      </c>
      <c r="D22" s="283">
        <f t="shared" si="0"/>
        <v>54072346.169999994</v>
      </c>
      <c r="E22" s="283">
        <f>SUM(E23:E31)</f>
        <v>17176321.649999999</v>
      </c>
      <c r="F22" s="283">
        <f>SUM(F23:F31)</f>
        <v>16660766.119999999</v>
      </c>
      <c r="G22" s="283">
        <f t="shared" si="1"/>
        <v>36896024.519999996</v>
      </c>
      <c r="H22" s="284">
        <v>0</v>
      </c>
    </row>
    <row r="23" spans="1:8" x14ac:dyDescent="0.25">
      <c r="A23" s="281" t="s">
        <v>461</v>
      </c>
      <c r="B23" s="266">
        <v>13785640</v>
      </c>
      <c r="C23" s="266">
        <v>0</v>
      </c>
      <c r="D23" s="266">
        <f t="shared" si="0"/>
        <v>13785640</v>
      </c>
      <c r="E23" s="266">
        <v>5254676.88</v>
      </c>
      <c r="F23" s="266">
        <v>5243093.08</v>
      </c>
      <c r="G23" s="266">
        <f t="shared" si="1"/>
        <v>8530963.120000001</v>
      </c>
      <c r="H23" s="282">
        <v>3100</v>
      </c>
    </row>
    <row r="24" spans="1:8" x14ac:dyDescent="0.25">
      <c r="A24" s="281" t="s">
        <v>462</v>
      </c>
      <c r="B24" s="266">
        <v>1117026</v>
      </c>
      <c r="C24" s="266">
        <v>340000</v>
      </c>
      <c r="D24" s="266">
        <f t="shared" si="0"/>
        <v>1457026</v>
      </c>
      <c r="E24" s="266">
        <v>19256</v>
      </c>
      <c r="F24" s="266">
        <v>18270</v>
      </c>
      <c r="G24" s="266">
        <f t="shared" si="1"/>
        <v>1437770</v>
      </c>
      <c r="H24" s="282">
        <v>3200</v>
      </c>
    </row>
    <row r="25" spans="1:8" x14ac:dyDescent="0.25">
      <c r="A25" s="281" t="s">
        <v>463</v>
      </c>
      <c r="B25" s="266">
        <v>4526369.38</v>
      </c>
      <c r="C25" s="266">
        <v>222252.72</v>
      </c>
      <c r="D25" s="266">
        <f t="shared" si="0"/>
        <v>4748622.0999999996</v>
      </c>
      <c r="E25" s="266">
        <v>100876.7</v>
      </c>
      <c r="F25" s="266">
        <v>100876.7</v>
      </c>
      <c r="G25" s="266">
        <f t="shared" si="1"/>
        <v>4647745.3999999994</v>
      </c>
      <c r="H25" s="282">
        <v>3300</v>
      </c>
    </row>
    <row r="26" spans="1:8" x14ac:dyDescent="0.25">
      <c r="A26" s="281" t="s">
        <v>464</v>
      </c>
      <c r="B26" s="266">
        <v>2530000</v>
      </c>
      <c r="C26" s="266">
        <v>90000</v>
      </c>
      <c r="D26" s="266">
        <f t="shared" si="0"/>
        <v>2620000</v>
      </c>
      <c r="E26" s="266">
        <v>114638.31</v>
      </c>
      <c r="F26" s="266">
        <v>114638.31</v>
      </c>
      <c r="G26" s="266">
        <f t="shared" si="1"/>
        <v>2505361.69</v>
      </c>
      <c r="H26" s="282">
        <v>3400</v>
      </c>
    </row>
    <row r="27" spans="1:8" x14ac:dyDescent="0.25">
      <c r="A27" s="281" t="s">
        <v>465</v>
      </c>
      <c r="B27" s="266">
        <v>6044121.46</v>
      </c>
      <c r="C27" s="266">
        <v>-93904.83</v>
      </c>
      <c r="D27" s="266">
        <f t="shared" si="0"/>
        <v>5950216.6299999999</v>
      </c>
      <c r="E27" s="266">
        <v>601953.09</v>
      </c>
      <c r="F27" s="266">
        <v>460460.33</v>
      </c>
      <c r="G27" s="266">
        <f t="shared" si="1"/>
        <v>5348263.54</v>
      </c>
      <c r="H27" s="282">
        <v>3500</v>
      </c>
    </row>
    <row r="28" spans="1:8" x14ac:dyDescent="0.25">
      <c r="A28" s="281" t="s">
        <v>466</v>
      </c>
      <c r="B28" s="266">
        <v>1580836.41</v>
      </c>
      <c r="C28" s="266">
        <v>15000</v>
      </c>
      <c r="D28" s="266">
        <f t="shared" si="0"/>
        <v>1595836.41</v>
      </c>
      <c r="E28" s="266">
        <v>48923.83</v>
      </c>
      <c r="F28" s="266">
        <v>48923.83</v>
      </c>
      <c r="G28" s="266">
        <f t="shared" si="1"/>
        <v>1546912.5799999998</v>
      </c>
      <c r="H28" s="282">
        <v>3600</v>
      </c>
    </row>
    <row r="29" spans="1:8" x14ac:dyDescent="0.25">
      <c r="A29" s="281" t="s">
        <v>467</v>
      </c>
      <c r="B29" s="266">
        <v>1893600.85</v>
      </c>
      <c r="C29" s="266">
        <v>0</v>
      </c>
      <c r="D29" s="266">
        <f t="shared" si="0"/>
        <v>1893600.85</v>
      </c>
      <c r="E29" s="266">
        <v>26145</v>
      </c>
      <c r="F29" s="266">
        <v>26145</v>
      </c>
      <c r="G29" s="266">
        <f t="shared" si="1"/>
        <v>1867455.85</v>
      </c>
      <c r="H29" s="282">
        <v>3700</v>
      </c>
    </row>
    <row r="30" spans="1:8" x14ac:dyDescent="0.25">
      <c r="A30" s="281" t="s">
        <v>468</v>
      </c>
      <c r="B30" s="266">
        <v>17548734.620000001</v>
      </c>
      <c r="C30" s="266">
        <v>-125348.24</v>
      </c>
      <c r="D30" s="266">
        <f t="shared" si="0"/>
        <v>17423386.380000003</v>
      </c>
      <c r="E30" s="266">
        <v>8805324.5700000003</v>
      </c>
      <c r="F30" s="266">
        <v>8598644.5999999996</v>
      </c>
      <c r="G30" s="266">
        <f t="shared" si="1"/>
        <v>8618061.8100000024</v>
      </c>
      <c r="H30" s="282">
        <v>3800</v>
      </c>
    </row>
    <row r="31" spans="1:8" x14ac:dyDescent="0.25">
      <c r="A31" s="281" t="s">
        <v>469</v>
      </c>
      <c r="B31" s="266">
        <v>3584036.47</v>
      </c>
      <c r="C31" s="266">
        <v>1013981.33</v>
      </c>
      <c r="D31" s="266">
        <f t="shared" si="0"/>
        <v>4598017.8</v>
      </c>
      <c r="E31" s="266">
        <v>2204527.27</v>
      </c>
      <c r="F31" s="266">
        <v>2049714.27</v>
      </c>
      <c r="G31" s="266">
        <f t="shared" si="1"/>
        <v>2393490.5299999998</v>
      </c>
      <c r="H31" s="282">
        <v>3900</v>
      </c>
    </row>
    <row r="32" spans="1:8" x14ac:dyDescent="0.25">
      <c r="A32" s="279" t="s">
        <v>126</v>
      </c>
      <c r="B32" s="283">
        <f>SUM(B33:B41)</f>
        <v>42088908.269999996</v>
      </c>
      <c r="C32" s="283">
        <f>SUM(C33:C41)</f>
        <v>2765033.79</v>
      </c>
      <c r="D32" s="283">
        <f t="shared" si="0"/>
        <v>44853942.059999995</v>
      </c>
      <c r="E32" s="283">
        <f>SUM(E33:E41)</f>
        <v>9614623.540000001</v>
      </c>
      <c r="F32" s="283">
        <f>SUM(F33:F41)</f>
        <v>9611723.540000001</v>
      </c>
      <c r="G32" s="283">
        <f t="shared" si="1"/>
        <v>35239318.519999996</v>
      </c>
      <c r="H32" s="284">
        <v>0</v>
      </c>
    </row>
    <row r="33" spans="1:8" x14ac:dyDescent="0.25">
      <c r="A33" s="281" t="s">
        <v>127</v>
      </c>
      <c r="B33" s="266">
        <v>19816432.469999999</v>
      </c>
      <c r="C33" s="266">
        <v>0</v>
      </c>
      <c r="D33" s="266">
        <f t="shared" si="0"/>
        <v>19816432.469999999</v>
      </c>
      <c r="E33" s="266">
        <v>4986051.13</v>
      </c>
      <c r="F33" s="266">
        <v>4986051.13</v>
      </c>
      <c r="G33" s="266">
        <f t="shared" si="1"/>
        <v>14830381.34</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1085659.5900000001</v>
      </c>
      <c r="C35" s="266">
        <v>0</v>
      </c>
      <c r="D35" s="266">
        <f t="shared" si="0"/>
        <v>1085659.5900000001</v>
      </c>
      <c r="E35" s="266">
        <v>0</v>
      </c>
      <c r="F35" s="266">
        <v>0</v>
      </c>
      <c r="G35" s="266">
        <f t="shared" si="1"/>
        <v>1085659.5900000001</v>
      </c>
      <c r="H35" s="282">
        <v>4300</v>
      </c>
    </row>
    <row r="36" spans="1:8" x14ac:dyDescent="0.25">
      <c r="A36" s="281" t="s">
        <v>130</v>
      </c>
      <c r="B36" s="266">
        <v>14435350.98</v>
      </c>
      <c r="C36" s="266">
        <v>2765033.79</v>
      </c>
      <c r="D36" s="266">
        <f t="shared" si="0"/>
        <v>17200384.77</v>
      </c>
      <c r="E36" s="266">
        <v>3037595.85</v>
      </c>
      <c r="F36" s="266">
        <v>3034695.85</v>
      </c>
      <c r="G36" s="266">
        <f t="shared" si="1"/>
        <v>14162788.92</v>
      </c>
      <c r="H36" s="282">
        <v>4400</v>
      </c>
    </row>
    <row r="37" spans="1:8" x14ac:dyDescent="0.25">
      <c r="A37" s="281" t="s">
        <v>131</v>
      </c>
      <c r="B37" s="266">
        <v>6451465.2300000004</v>
      </c>
      <c r="C37" s="266">
        <v>0</v>
      </c>
      <c r="D37" s="266">
        <f t="shared" si="0"/>
        <v>6451465.2300000004</v>
      </c>
      <c r="E37" s="266">
        <v>1590976.56</v>
      </c>
      <c r="F37" s="266">
        <v>1590976.56</v>
      </c>
      <c r="G37" s="266">
        <f t="shared" si="1"/>
        <v>4860488.67</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300000</v>
      </c>
      <c r="C40" s="266">
        <v>0</v>
      </c>
      <c r="D40" s="266">
        <f t="shared" si="0"/>
        <v>300000</v>
      </c>
      <c r="E40" s="266">
        <v>0</v>
      </c>
      <c r="F40" s="266">
        <v>0</v>
      </c>
      <c r="G40" s="266">
        <f t="shared" si="1"/>
        <v>300000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4552858.16</v>
      </c>
      <c r="C42" s="283">
        <f>SUM(C43:C51)</f>
        <v>558600</v>
      </c>
      <c r="D42" s="283">
        <f t="shared" si="0"/>
        <v>5111458.16</v>
      </c>
      <c r="E42" s="283">
        <f>SUM(E43:E51)</f>
        <v>187120</v>
      </c>
      <c r="F42" s="283">
        <f>SUM(F43:F51)</f>
        <v>125490</v>
      </c>
      <c r="G42" s="283">
        <f t="shared" si="1"/>
        <v>4924338.16</v>
      </c>
      <c r="H42" s="284">
        <v>0</v>
      </c>
    </row>
    <row r="43" spans="1:8" x14ac:dyDescent="0.25">
      <c r="A43" s="285" t="s">
        <v>472</v>
      </c>
      <c r="B43" s="266">
        <v>1556858.16</v>
      </c>
      <c r="C43" s="266">
        <v>55000</v>
      </c>
      <c r="D43" s="266">
        <f t="shared" si="0"/>
        <v>1611858.16</v>
      </c>
      <c r="E43" s="266">
        <v>155090</v>
      </c>
      <c r="F43" s="266">
        <v>100010</v>
      </c>
      <c r="G43" s="266">
        <f t="shared" si="1"/>
        <v>1456768.16</v>
      </c>
      <c r="H43" s="282">
        <v>5100</v>
      </c>
    </row>
    <row r="44" spans="1:8" x14ac:dyDescent="0.25">
      <c r="A44" s="281" t="s">
        <v>473</v>
      </c>
      <c r="B44" s="266">
        <v>20000</v>
      </c>
      <c r="C44" s="266">
        <v>0</v>
      </c>
      <c r="D44" s="266">
        <f t="shared" si="0"/>
        <v>20000</v>
      </c>
      <c r="E44" s="266">
        <v>0</v>
      </c>
      <c r="F44" s="266">
        <v>0</v>
      </c>
      <c r="G44" s="266">
        <f t="shared" si="1"/>
        <v>20000</v>
      </c>
      <c r="H44" s="282">
        <v>5200</v>
      </c>
    </row>
    <row r="45" spans="1:8" x14ac:dyDescent="0.25">
      <c r="A45" s="281" t="s">
        <v>474</v>
      </c>
      <c r="B45" s="266">
        <v>10000</v>
      </c>
      <c r="C45" s="266">
        <v>0</v>
      </c>
      <c r="D45" s="266">
        <f t="shared" si="0"/>
        <v>10000</v>
      </c>
      <c r="E45" s="266">
        <v>0</v>
      </c>
      <c r="F45" s="266">
        <v>0</v>
      </c>
      <c r="G45" s="266">
        <f t="shared" si="1"/>
        <v>10000</v>
      </c>
      <c r="H45" s="282">
        <v>5300</v>
      </c>
    </row>
    <row r="46" spans="1:8" x14ac:dyDescent="0.25">
      <c r="A46" s="281" t="s">
        <v>475</v>
      </c>
      <c r="B46" s="266">
        <v>115000</v>
      </c>
      <c r="C46" s="266">
        <v>0</v>
      </c>
      <c r="D46" s="266">
        <f t="shared" si="0"/>
        <v>115000</v>
      </c>
      <c r="E46" s="266">
        <v>0</v>
      </c>
      <c r="F46" s="266">
        <v>0</v>
      </c>
      <c r="G46" s="266">
        <f t="shared" si="1"/>
        <v>115000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2820000</v>
      </c>
      <c r="C48" s="266">
        <v>503600</v>
      </c>
      <c r="D48" s="266">
        <f t="shared" si="0"/>
        <v>3323600</v>
      </c>
      <c r="E48" s="266">
        <v>32030</v>
      </c>
      <c r="F48" s="266">
        <v>25480</v>
      </c>
      <c r="G48" s="266">
        <f t="shared" si="1"/>
        <v>3291570</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31000</v>
      </c>
      <c r="C51" s="266">
        <v>0</v>
      </c>
      <c r="D51" s="266">
        <f t="shared" si="0"/>
        <v>31000</v>
      </c>
      <c r="E51" s="266">
        <v>0</v>
      </c>
      <c r="F51" s="266">
        <v>0</v>
      </c>
      <c r="G51" s="266">
        <f t="shared" si="1"/>
        <v>31000</v>
      </c>
      <c r="H51" s="282">
        <v>5900</v>
      </c>
    </row>
    <row r="52" spans="1:8" x14ac:dyDescent="0.25">
      <c r="A52" s="279" t="s">
        <v>151</v>
      </c>
      <c r="B52" s="283">
        <f>SUM(B53:B55)</f>
        <v>33392090.82</v>
      </c>
      <c r="C52" s="283">
        <f>SUM(C53:C55)</f>
        <v>40473755.659999996</v>
      </c>
      <c r="D52" s="283">
        <f t="shared" si="0"/>
        <v>73865846.479999989</v>
      </c>
      <c r="E52" s="283">
        <f>SUM(E53:E55)</f>
        <v>25230736.109999999</v>
      </c>
      <c r="F52" s="283">
        <f>SUM(F53:F55)</f>
        <v>25230736.109999999</v>
      </c>
      <c r="G52" s="283">
        <f t="shared" si="1"/>
        <v>48635110.36999999</v>
      </c>
      <c r="H52" s="284">
        <v>0</v>
      </c>
    </row>
    <row r="53" spans="1:8" x14ac:dyDescent="0.25">
      <c r="A53" s="281" t="s">
        <v>480</v>
      </c>
      <c r="B53" s="266">
        <v>33392090.82</v>
      </c>
      <c r="C53" s="266">
        <v>40473755.659999996</v>
      </c>
      <c r="D53" s="266">
        <f t="shared" si="0"/>
        <v>73865846.479999989</v>
      </c>
      <c r="E53" s="266">
        <v>25230736.109999999</v>
      </c>
      <c r="F53" s="266">
        <v>25230736.109999999</v>
      </c>
      <c r="G53" s="266">
        <f t="shared" si="1"/>
        <v>48635110.36999999</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298657678.38999999</v>
      </c>
      <c r="C76" s="278">
        <f t="shared" si="4"/>
        <v>46722752.899999999</v>
      </c>
      <c r="D76" s="278">
        <f t="shared" si="4"/>
        <v>345380431.28999996</v>
      </c>
      <c r="E76" s="278">
        <f t="shared" si="4"/>
        <v>81002520.25</v>
      </c>
      <c r="F76" s="278">
        <f t="shared" si="4"/>
        <v>79782494.780000001</v>
      </c>
      <c r="G76" s="278">
        <f t="shared" si="4"/>
        <v>264377911.03999996</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719</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179409832.53000003</v>
      </c>
      <c r="C5" s="283">
        <f t="shared" si="0"/>
        <v>3238459.53</v>
      </c>
      <c r="D5" s="283">
        <f t="shared" si="0"/>
        <v>182648292.06</v>
      </c>
      <c r="E5" s="283">
        <f t="shared" si="0"/>
        <v>36942244.810000002</v>
      </c>
      <c r="F5" s="283">
        <f t="shared" si="0"/>
        <v>36168032.68</v>
      </c>
      <c r="G5" s="283">
        <f t="shared" si="0"/>
        <v>145706047.25</v>
      </c>
    </row>
    <row r="6" spans="1:7" x14ac:dyDescent="0.25">
      <c r="A6" s="288" t="s">
        <v>495</v>
      </c>
      <c r="B6" s="266">
        <v>32133895.989999998</v>
      </c>
      <c r="C6" s="266">
        <v>349651.76</v>
      </c>
      <c r="D6" s="266">
        <f>B6+C6</f>
        <v>32483547.75</v>
      </c>
      <c r="E6" s="266">
        <v>11077973.02</v>
      </c>
      <c r="F6" s="266">
        <v>10857300.939999999</v>
      </c>
      <c r="G6" s="266">
        <f>D6-E6</f>
        <v>21405574.73</v>
      </c>
    </row>
    <row r="7" spans="1:7" x14ac:dyDescent="0.25">
      <c r="A7" s="288" t="s">
        <v>496</v>
      </c>
      <c r="B7" s="266">
        <v>540254.94999999995</v>
      </c>
      <c r="C7" s="266">
        <v>0</v>
      </c>
      <c r="D7" s="266">
        <f t="shared" ref="D7:D13" si="1">B7+C7</f>
        <v>540254.94999999995</v>
      </c>
      <c r="E7" s="266">
        <v>103209.14</v>
      </c>
      <c r="F7" s="266">
        <v>102642.66</v>
      </c>
      <c r="G7" s="266">
        <f t="shared" ref="G7:G13" si="2">D7-E7</f>
        <v>437045.80999999994</v>
      </c>
    </row>
    <row r="8" spans="1:7" x14ac:dyDescent="0.25">
      <c r="A8" s="288" t="s">
        <v>497</v>
      </c>
      <c r="B8" s="266">
        <v>20477355.640000001</v>
      </c>
      <c r="C8" s="266">
        <v>1115588.92</v>
      </c>
      <c r="D8" s="266">
        <f t="shared" si="1"/>
        <v>21592944.560000002</v>
      </c>
      <c r="E8" s="266">
        <v>4448487.29</v>
      </c>
      <c r="F8" s="266">
        <v>4393047.8600000003</v>
      </c>
      <c r="G8" s="266">
        <f t="shared" si="2"/>
        <v>17144457.270000003</v>
      </c>
    </row>
    <row r="9" spans="1:7" x14ac:dyDescent="0.25">
      <c r="A9" s="288" t="s">
        <v>498</v>
      </c>
      <c r="B9" s="266">
        <v>0</v>
      </c>
      <c r="C9" s="266">
        <v>0</v>
      </c>
      <c r="D9" s="266">
        <f t="shared" si="1"/>
        <v>0</v>
      </c>
      <c r="E9" s="266">
        <v>0</v>
      </c>
      <c r="F9" s="266">
        <v>0</v>
      </c>
      <c r="G9" s="266">
        <f t="shared" si="2"/>
        <v>0</v>
      </c>
    </row>
    <row r="10" spans="1:7" x14ac:dyDescent="0.25">
      <c r="A10" s="288" t="s">
        <v>499</v>
      </c>
      <c r="B10" s="266">
        <v>5905003.46</v>
      </c>
      <c r="C10" s="266">
        <v>90000</v>
      </c>
      <c r="D10" s="266">
        <f t="shared" si="1"/>
        <v>5995003.46</v>
      </c>
      <c r="E10" s="266">
        <v>1145393.74</v>
      </c>
      <c r="F10" s="266">
        <v>1139419.3</v>
      </c>
      <c r="G10" s="266">
        <f t="shared" si="2"/>
        <v>4849609.72</v>
      </c>
    </row>
    <row r="11" spans="1:7" x14ac:dyDescent="0.25">
      <c r="A11" s="288" t="s">
        <v>500</v>
      </c>
      <c r="B11" s="266">
        <v>0</v>
      </c>
      <c r="C11" s="266">
        <v>0</v>
      </c>
      <c r="D11" s="266">
        <f t="shared" si="1"/>
        <v>0</v>
      </c>
      <c r="E11" s="266">
        <v>0</v>
      </c>
      <c r="F11" s="266">
        <v>0</v>
      </c>
      <c r="G11" s="266">
        <f t="shared" si="2"/>
        <v>0</v>
      </c>
    </row>
    <row r="12" spans="1:7" x14ac:dyDescent="0.25">
      <c r="A12" s="288" t="s">
        <v>501</v>
      </c>
      <c r="B12" s="266">
        <v>74173482.790000007</v>
      </c>
      <c r="C12" s="266">
        <v>1626095.17</v>
      </c>
      <c r="D12" s="266">
        <f t="shared" si="1"/>
        <v>75799577.960000008</v>
      </c>
      <c r="E12" s="266">
        <v>12627959.65</v>
      </c>
      <c r="F12" s="266">
        <v>12339781.130000001</v>
      </c>
      <c r="G12" s="266">
        <f t="shared" si="2"/>
        <v>63171618.31000001</v>
      </c>
    </row>
    <row r="13" spans="1:7" x14ac:dyDescent="0.25">
      <c r="A13" s="288" t="s">
        <v>469</v>
      </c>
      <c r="B13" s="266">
        <v>46179839.700000003</v>
      </c>
      <c r="C13" s="266">
        <v>57123.68</v>
      </c>
      <c r="D13" s="266">
        <f t="shared" si="1"/>
        <v>46236963.380000003</v>
      </c>
      <c r="E13" s="266">
        <v>7539221.9699999997</v>
      </c>
      <c r="F13" s="266">
        <v>7335840.79</v>
      </c>
      <c r="G13" s="266">
        <f t="shared" si="2"/>
        <v>38697741.410000004</v>
      </c>
    </row>
    <row r="14" spans="1:7" x14ac:dyDescent="0.25">
      <c r="A14" s="288"/>
      <c r="B14" s="266"/>
      <c r="C14" s="266"/>
      <c r="D14" s="266"/>
      <c r="E14" s="266"/>
      <c r="F14" s="266"/>
      <c r="G14" s="266"/>
    </row>
    <row r="15" spans="1:7" x14ac:dyDescent="0.25">
      <c r="A15" s="287" t="s">
        <v>502</v>
      </c>
      <c r="B15" s="283">
        <f t="shared" ref="B15:G15" si="3">SUM(B16:B22)</f>
        <v>107508899.02000001</v>
      </c>
      <c r="C15" s="283">
        <f t="shared" si="3"/>
        <v>42809573.82</v>
      </c>
      <c r="D15" s="283">
        <f t="shared" si="3"/>
        <v>150318472.84</v>
      </c>
      <c r="E15" s="283">
        <f t="shared" si="3"/>
        <v>42936372.859999999</v>
      </c>
      <c r="F15" s="283">
        <f t="shared" si="3"/>
        <v>42504055.880000003</v>
      </c>
      <c r="G15" s="283">
        <f t="shared" si="3"/>
        <v>107382099.97999999</v>
      </c>
    </row>
    <row r="16" spans="1:7" x14ac:dyDescent="0.25">
      <c r="A16" s="288" t="s">
        <v>503</v>
      </c>
      <c r="B16" s="266">
        <v>9581147.8699999992</v>
      </c>
      <c r="C16" s="266">
        <v>-88821.01</v>
      </c>
      <c r="D16" s="266">
        <f>B16+C16</f>
        <v>9492326.8599999994</v>
      </c>
      <c r="E16" s="266">
        <v>1739773.52</v>
      </c>
      <c r="F16" s="266">
        <v>1548025.76</v>
      </c>
      <c r="G16" s="266">
        <f t="shared" ref="G16:G22" si="4">D16-E16</f>
        <v>7752553.3399999999</v>
      </c>
    </row>
    <row r="17" spans="1:7" x14ac:dyDescent="0.25">
      <c r="A17" s="288" t="s">
        <v>504</v>
      </c>
      <c r="B17" s="266">
        <v>67700758.659999996</v>
      </c>
      <c r="C17" s="266">
        <v>42918394.829999998</v>
      </c>
      <c r="D17" s="266">
        <f t="shared" ref="D17:D22" si="5">B17+C17</f>
        <v>110619153.48999999</v>
      </c>
      <c r="E17" s="266">
        <v>35150963.920000002</v>
      </c>
      <c r="F17" s="266">
        <v>34920771.380000003</v>
      </c>
      <c r="G17" s="266">
        <f t="shared" si="4"/>
        <v>75468189.569999993</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10899966.09</v>
      </c>
      <c r="C19" s="266">
        <v>0</v>
      </c>
      <c r="D19" s="266">
        <f t="shared" si="5"/>
        <v>10899966.09</v>
      </c>
      <c r="E19" s="266">
        <v>2756934.52</v>
      </c>
      <c r="F19" s="266">
        <v>2756934.52</v>
      </c>
      <c r="G19" s="266">
        <f t="shared" si="4"/>
        <v>8143031.5700000003</v>
      </c>
    </row>
    <row r="20" spans="1:7" x14ac:dyDescent="0.25">
      <c r="A20" s="288" t="s">
        <v>507</v>
      </c>
      <c r="B20" s="266">
        <v>5838344.7300000004</v>
      </c>
      <c r="C20" s="266">
        <v>0</v>
      </c>
      <c r="D20" s="266">
        <f t="shared" si="5"/>
        <v>5838344.7300000004</v>
      </c>
      <c r="E20" s="266">
        <v>492629.51</v>
      </c>
      <c r="F20" s="266">
        <v>484897.71</v>
      </c>
      <c r="G20" s="266">
        <f t="shared" si="4"/>
        <v>5345715.2200000007</v>
      </c>
    </row>
    <row r="21" spans="1:7" x14ac:dyDescent="0.25">
      <c r="A21" s="288" t="s">
        <v>508</v>
      </c>
      <c r="B21" s="266">
        <v>11793130.83</v>
      </c>
      <c r="C21" s="266">
        <v>0</v>
      </c>
      <c r="D21" s="266">
        <f t="shared" si="5"/>
        <v>11793130.83</v>
      </c>
      <c r="E21" s="266">
        <v>2625838.59</v>
      </c>
      <c r="F21" s="266">
        <v>2623974.83</v>
      </c>
      <c r="G21" s="266">
        <f t="shared" si="4"/>
        <v>9167292.2400000002</v>
      </c>
    </row>
    <row r="22" spans="1:7" x14ac:dyDescent="0.25">
      <c r="A22" s="288" t="s">
        <v>509</v>
      </c>
      <c r="B22" s="266">
        <v>1695550.84</v>
      </c>
      <c r="C22" s="266">
        <v>-20000</v>
      </c>
      <c r="D22" s="266">
        <f t="shared" si="5"/>
        <v>1675550.84</v>
      </c>
      <c r="E22" s="266">
        <v>170232.8</v>
      </c>
      <c r="F22" s="266">
        <v>169451.68</v>
      </c>
      <c r="G22" s="266">
        <f t="shared" si="4"/>
        <v>1505318.04</v>
      </c>
    </row>
    <row r="23" spans="1:7" x14ac:dyDescent="0.25">
      <c r="A23" s="288"/>
      <c r="B23" s="266"/>
      <c r="C23" s="266"/>
      <c r="D23" s="266"/>
      <c r="E23" s="266"/>
      <c r="F23" s="266"/>
      <c r="G23" s="266"/>
    </row>
    <row r="24" spans="1:7" x14ac:dyDescent="0.25">
      <c r="A24" s="287" t="s">
        <v>510</v>
      </c>
      <c r="B24" s="283">
        <f t="shared" ref="B24:G24" si="6">SUM(B25:B33)</f>
        <v>11738946.84</v>
      </c>
      <c r="C24" s="283">
        <f t="shared" si="6"/>
        <v>674719.55</v>
      </c>
      <c r="D24" s="283">
        <f t="shared" si="6"/>
        <v>12413666.390000001</v>
      </c>
      <c r="E24" s="283">
        <f t="shared" si="6"/>
        <v>1123902.58</v>
      </c>
      <c r="F24" s="283">
        <f t="shared" si="6"/>
        <v>1110406.22</v>
      </c>
      <c r="G24" s="283">
        <f t="shared" si="6"/>
        <v>11289763.810000001</v>
      </c>
    </row>
    <row r="25" spans="1:7" x14ac:dyDescent="0.25">
      <c r="A25" s="288" t="s">
        <v>511</v>
      </c>
      <c r="B25" s="266">
        <v>5312501.45</v>
      </c>
      <c r="C25" s="266">
        <v>24719.55</v>
      </c>
      <c r="D25" s="266">
        <f>B25+C25</f>
        <v>5337221</v>
      </c>
      <c r="E25" s="266">
        <v>516334.2</v>
      </c>
      <c r="F25" s="266">
        <v>510573.76</v>
      </c>
      <c r="G25" s="266">
        <f t="shared" ref="G25:G33" si="7">D25-E25</f>
        <v>4820886.8</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2687498.74</v>
      </c>
      <c r="C30" s="266">
        <v>0</v>
      </c>
      <c r="D30" s="266">
        <f t="shared" si="8"/>
        <v>2687498.74</v>
      </c>
      <c r="E30" s="266">
        <v>270554.57</v>
      </c>
      <c r="F30" s="266">
        <v>268912.21999999997</v>
      </c>
      <c r="G30" s="266">
        <f t="shared" si="7"/>
        <v>2416944.1700000004</v>
      </c>
    </row>
    <row r="31" spans="1:7" x14ac:dyDescent="0.25">
      <c r="A31" s="288" t="s">
        <v>517</v>
      </c>
      <c r="B31" s="266">
        <v>2246128.38</v>
      </c>
      <c r="C31" s="266">
        <v>0</v>
      </c>
      <c r="D31" s="266">
        <f t="shared" si="8"/>
        <v>2246128.38</v>
      </c>
      <c r="E31" s="266">
        <v>61064.71</v>
      </c>
      <c r="F31" s="266">
        <v>56451.3</v>
      </c>
      <c r="G31" s="266">
        <f t="shared" si="7"/>
        <v>2185063.67</v>
      </c>
    </row>
    <row r="32" spans="1:7" x14ac:dyDescent="0.25">
      <c r="A32" s="288" t="s">
        <v>518</v>
      </c>
      <c r="B32" s="266">
        <v>1492818.27</v>
      </c>
      <c r="C32" s="266">
        <v>650000</v>
      </c>
      <c r="D32" s="266">
        <f t="shared" si="8"/>
        <v>2142818.27</v>
      </c>
      <c r="E32" s="266">
        <v>275949.09999999998</v>
      </c>
      <c r="F32" s="266">
        <v>274468.94</v>
      </c>
      <c r="G32" s="266">
        <f t="shared" si="7"/>
        <v>1866869.17</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298657678.39000005</v>
      </c>
      <c r="C41" s="268">
        <f t="shared" si="12"/>
        <v>46722752.899999999</v>
      </c>
      <c r="D41" s="268">
        <f t="shared" si="12"/>
        <v>345380431.29000002</v>
      </c>
      <c r="E41" s="268">
        <f t="shared" si="12"/>
        <v>81002520.25</v>
      </c>
      <c r="F41" s="268">
        <f t="shared" si="12"/>
        <v>79782494.780000001</v>
      </c>
      <c r="G41" s="268">
        <f t="shared" si="12"/>
        <v>264377911.03999999</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725</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723</v>
      </c>
      <c r="B14" s="293"/>
      <c r="C14" s="293"/>
      <c r="D14" s="293">
        <f>+B14-C14</f>
        <v>0</v>
      </c>
    </row>
    <row r="15" spans="1:4" x14ac:dyDescent="0.25">
      <c r="A15" s="292" t="s">
        <v>724</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726</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721</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899999999999999" customHeight="1" x14ac:dyDescent="0.2">
      <c r="A6" s="427" t="s">
        <v>538</v>
      </c>
      <c r="B6" s="283">
        <f>SUM(B7:B8)</f>
        <v>1013659.59</v>
      </c>
      <c r="C6" s="283">
        <f t="shared" ref="C6:G6" si="0">SUM(C7:C8)</f>
        <v>2315033.79</v>
      </c>
      <c r="D6" s="283">
        <f t="shared" si="0"/>
        <v>3328693.38</v>
      </c>
      <c r="E6" s="283">
        <f t="shared" si="0"/>
        <v>2250771.5499999998</v>
      </c>
      <c r="F6" s="283">
        <f t="shared" si="0"/>
        <v>2250771.5499999998</v>
      </c>
      <c r="G6" s="283">
        <f t="shared" si="0"/>
        <v>1077921.83</v>
      </c>
      <c r="H6" s="434"/>
    </row>
    <row r="7" spans="1:8" ht="10.15" customHeight="1" x14ac:dyDescent="0.2">
      <c r="A7" s="430" t="s">
        <v>639</v>
      </c>
      <c r="B7" s="266">
        <v>1013659.59</v>
      </c>
      <c r="C7" s="266">
        <v>2315033.79</v>
      </c>
      <c r="D7" s="425">
        <f>B7+C7</f>
        <v>3328693.38</v>
      </c>
      <c r="E7" s="266">
        <v>2250771.5499999998</v>
      </c>
      <c r="F7" s="266">
        <v>2250771.5499999998</v>
      </c>
      <c r="G7" s="425">
        <f>D7-E7</f>
        <v>1077921.83</v>
      </c>
      <c r="H7" s="434" t="s">
        <v>539</v>
      </c>
    </row>
    <row r="8" spans="1:8" ht="13.9"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264052625.14999998</v>
      </c>
      <c r="C9" s="283">
        <f t="shared" ref="C9:G9" si="3">SUM(C10:C12)</f>
        <v>44282492.269999996</v>
      </c>
      <c r="D9" s="283">
        <f t="shared" si="3"/>
        <v>308335117.41999996</v>
      </c>
      <c r="E9" s="283">
        <f t="shared" si="3"/>
        <v>73687226.719999999</v>
      </c>
      <c r="F9" s="283">
        <f t="shared" si="3"/>
        <v>72651173.739999995</v>
      </c>
      <c r="G9" s="283">
        <f t="shared" si="3"/>
        <v>234647890.69999999</v>
      </c>
      <c r="H9" s="434">
        <v>0</v>
      </c>
    </row>
    <row r="10" spans="1:8" ht="10.15" customHeight="1" x14ac:dyDescent="0.2">
      <c r="A10" s="430" t="s">
        <v>543</v>
      </c>
      <c r="B10" s="266">
        <v>0</v>
      </c>
      <c r="C10" s="266">
        <v>0</v>
      </c>
      <c r="D10" s="425">
        <f t="shared" si="1"/>
        <v>0</v>
      </c>
      <c r="E10" s="266">
        <v>0</v>
      </c>
      <c r="F10" s="266">
        <v>0</v>
      </c>
      <c r="G10" s="425">
        <f t="shared" si="2"/>
        <v>0</v>
      </c>
      <c r="H10" s="434" t="s">
        <v>544</v>
      </c>
    </row>
    <row r="11" spans="1:8" ht="10.15" customHeight="1" x14ac:dyDescent="0.2">
      <c r="A11" s="430" t="s">
        <v>541</v>
      </c>
      <c r="B11" s="266">
        <v>218647972.75999999</v>
      </c>
      <c r="C11" s="266">
        <v>3799131.23</v>
      </c>
      <c r="D11" s="425">
        <f t="shared" si="1"/>
        <v>222447103.98999998</v>
      </c>
      <c r="E11" s="266">
        <v>46991079.509999998</v>
      </c>
      <c r="F11" s="266">
        <v>46122599.539999999</v>
      </c>
      <c r="G11" s="425">
        <f t="shared" si="2"/>
        <v>175456024.47999999</v>
      </c>
      <c r="H11" s="434" t="s">
        <v>542</v>
      </c>
    </row>
    <row r="12" spans="1:8" ht="10.15" customHeight="1" x14ac:dyDescent="0.2">
      <c r="A12" s="430" t="s">
        <v>642</v>
      </c>
      <c r="B12" s="266">
        <v>45404652.390000001</v>
      </c>
      <c r="C12" s="266">
        <v>40483361.039999999</v>
      </c>
      <c r="D12" s="425">
        <f t="shared" si="1"/>
        <v>85888013.430000007</v>
      </c>
      <c r="E12" s="266">
        <v>26696147.210000001</v>
      </c>
      <c r="F12" s="266">
        <v>26528574.199999999</v>
      </c>
      <c r="G12" s="425">
        <f t="shared" si="2"/>
        <v>59191866.220000006</v>
      </c>
      <c r="H12" s="434" t="s">
        <v>551</v>
      </c>
    </row>
    <row r="13" spans="1:8" x14ac:dyDescent="0.2">
      <c r="A13" s="427" t="s">
        <v>643</v>
      </c>
      <c r="B13" s="283">
        <f>+SUM(B14:B20)</f>
        <v>1788366.17</v>
      </c>
      <c r="C13" s="283">
        <f t="shared" ref="C13:G13" si="4">+SUM(C14:C20)</f>
        <v>-7915.51</v>
      </c>
      <c r="D13" s="283">
        <f t="shared" si="4"/>
        <v>1780450.66</v>
      </c>
      <c r="E13" s="283">
        <f t="shared" si="4"/>
        <v>276742.60000000003</v>
      </c>
      <c r="F13" s="283">
        <f t="shared" si="4"/>
        <v>274305.88</v>
      </c>
      <c r="G13" s="283">
        <f t="shared" si="4"/>
        <v>1503708.0599999998</v>
      </c>
      <c r="H13" s="434">
        <v>0</v>
      </c>
    </row>
    <row r="14" spans="1:8" ht="10.15" customHeight="1" x14ac:dyDescent="0.2">
      <c r="A14" s="430" t="s">
        <v>644</v>
      </c>
      <c r="B14" s="266">
        <v>0</v>
      </c>
      <c r="C14" s="266">
        <v>0</v>
      </c>
      <c r="D14" s="425">
        <f t="shared" si="1"/>
        <v>0</v>
      </c>
      <c r="E14" s="266">
        <v>0</v>
      </c>
      <c r="F14" s="266">
        <v>0</v>
      </c>
      <c r="G14" s="425">
        <f t="shared" si="2"/>
        <v>0</v>
      </c>
      <c r="H14" s="434" t="s">
        <v>549</v>
      </c>
    </row>
    <row r="15" spans="1:8" ht="10.15"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253147.91</v>
      </c>
      <c r="C16" s="266">
        <v>-17520.89</v>
      </c>
      <c r="D16" s="425">
        <f t="shared" si="1"/>
        <v>235627.02000000002</v>
      </c>
      <c r="E16" s="266">
        <v>18168.59</v>
      </c>
      <c r="F16" s="266">
        <v>17168.59</v>
      </c>
      <c r="G16" s="425">
        <f t="shared" si="2"/>
        <v>217458.43000000002</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1535218.26</v>
      </c>
      <c r="C18" s="266">
        <v>9605.3799999999992</v>
      </c>
      <c r="D18" s="425">
        <f t="shared" si="1"/>
        <v>1544823.64</v>
      </c>
      <c r="E18" s="266">
        <v>258574.01</v>
      </c>
      <c r="F18" s="266">
        <v>257137.29</v>
      </c>
      <c r="G18" s="425">
        <f t="shared" si="2"/>
        <v>1286249.6299999999</v>
      </c>
      <c r="H18" s="434" t="s">
        <v>545</v>
      </c>
    </row>
    <row r="19" spans="1:8" ht="10.15" customHeight="1" x14ac:dyDescent="0.2">
      <c r="A19" s="430" t="s">
        <v>648</v>
      </c>
      <c r="B19" s="266">
        <v>0</v>
      </c>
      <c r="C19" s="266">
        <v>0</v>
      </c>
      <c r="D19" s="425">
        <f t="shared" si="1"/>
        <v>0</v>
      </c>
      <c r="E19" s="266">
        <v>0</v>
      </c>
      <c r="F19" s="266">
        <v>0</v>
      </c>
      <c r="G19" s="425">
        <f t="shared" si="2"/>
        <v>0</v>
      </c>
      <c r="H19" s="434" t="s">
        <v>662</v>
      </c>
    </row>
    <row r="20" spans="1:8" ht="10.15"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24015921.18</v>
      </c>
      <c r="C21" s="283">
        <f t="shared" ref="C21:G21" si="5">+SUM(C22:C25)</f>
        <v>133142.35</v>
      </c>
      <c r="D21" s="283">
        <f t="shared" si="5"/>
        <v>24149063.530000001</v>
      </c>
      <c r="E21" s="283">
        <f t="shared" si="5"/>
        <v>3093593.68</v>
      </c>
      <c r="F21" s="283">
        <f t="shared" si="5"/>
        <v>2912624.39</v>
      </c>
      <c r="G21" s="283">
        <f t="shared" si="5"/>
        <v>21055469.849999998</v>
      </c>
      <c r="H21" s="434">
        <v>0</v>
      </c>
    </row>
    <row r="22" spans="1:8" x14ac:dyDescent="0.2">
      <c r="A22" s="430" t="s">
        <v>651</v>
      </c>
      <c r="B22" s="266">
        <v>21014515.379999999</v>
      </c>
      <c r="C22" s="266">
        <v>133142.35</v>
      </c>
      <c r="D22" s="425">
        <f t="shared" si="1"/>
        <v>21147657.73</v>
      </c>
      <c r="E22" s="266">
        <v>2476730.87</v>
      </c>
      <c r="F22" s="266">
        <v>2299075.98</v>
      </c>
      <c r="G22" s="425">
        <f t="shared" si="2"/>
        <v>18670926.859999999</v>
      </c>
      <c r="H22" s="434" t="s">
        <v>552</v>
      </c>
    </row>
    <row r="23" spans="1:8" ht="10.15" customHeight="1" x14ac:dyDescent="0.2">
      <c r="A23" s="430" t="s">
        <v>652</v>
      </c>
      <c r="B23" s="266">
        <v>3001405.8</v>
      </c>
      <c r="C23" s="266">
        <v>0</v>
      </c>
      <c r="D23" s="425">
        <f t="shared" si="1"/>
        <v>3001405.8</v>
      </c>
      <c r="E23" s="266">
        <v>616862.81000000006</v>
      </c>
      <c r="F23" s="266">
        <v>613548.41</v>
      </c>
      <c r="G23" s="425">
        <f t="shared" si="2"/>
        <v>2384542.9899999998</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15" customHeight="1" x14ac:dyDescent="0.2">
      <c r="A26" s="427" t="s">
        <v>654</v>
      </c>
      <c r="B26" s="283">
        <f>+SUM(B27:B35)</f>
        <v>7787106.2999999998</v>
      </c>
      <c r="C26" s="283">
        <f t="shared" ref="C26:G26" si="6">+SUM(C27:C35)</f>
        <v>0</v>
      </c>
      <c r="D26" s="283">
        <f t="shared" si="6"/>
        <v>7787106.2999999998</v>
      </c>
      <c r="E26" s="283">
        <f t="shared" si="6"/>
        <v>1694185.7</v>
      </c>
      <c r="F26" s="283">
        <f t="shared" si="6"/>
        <v>1693619.22</v>
      </c>
      <c r="G26" s="283">
        <f t="shared" si="6"/>
        <v>6092920.5999999987</v>
      </c>
      <c r="H26" s="434">
        <v>0</v>
      </c>
    </row>
    <row r="27" spans="1:8" ht="10.15" customHeight="1" x14ac:dyDescent="0.2">
      <c r="A27" s="430" t="s">
        <v>655</v>
      </c>
      <c r="B27" s="266">
        <v>0</v>
      </c>
      <c r="C27" s="266">
        <v>0</v>
      </c>
      <c r="D27" s="425">
        <f t="shared" si="1"/>
        <v>0</v>
      </c>
      <c r="E27" s="266">
        <v>0</v>
      </c>
      <c r="F27" s="266">
        <v>0</v>
      </c>
      <c r="G27" s="425">
        <f t="shared" si="2"/>
        <v>0</v>
      </c>
      <c r="H27" s="434" t="s">
        <v>568</v>
      </c>
    </row>
    <row r="28" spans="1:8" ht="10.15" customHeight="1" x14ac:dyDescent="0.2">
      <c r="A28" s="430" t="s">
        <v>656</v>
      </c>
      <c r="B28" s="266">
        <v>0</v>
      </c>
      <c r="C28" s="266">
        <v>0</v>
      </c>
      <c r="D28" s="425">
        <f t="shared" si="1"/>
        <v>0</v>
      </c>
      <c r="E28" s="266">
        <v>0</v>
      </c>
      <c r="F28" s="266">
        <v>0</v>
      </c>
      <c r="G28" s="425">
        <f t="shared" si="2"/>
        <v>0</v>
      </c>
      <c r="H28" s="434" t="s">
        <v>569</v>
      </c>
    </row>
    <row r="29" spans="1:8" ht="10.15"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7246851.3499999996</v>
      </c>
      <c r="C31" s="266">
        <v>0</v>
      </c>
      <c r="D31" s="425">
        <f t="shared" si="1"/>
        <v>7246851.3499999996</v>
      </c>
      <c r="E31" s="266">
        <v>1590976.56</v>
      </c>
      <c r="F31" s="266">
        <v>1590976.56</v>
      </c>
      <c r="G31" s="425">
        <f t="shared" si="2"/>
        <v>5655874.7899999991</v>
      </c>
      <c r="H31" s="434" t="s">
        <v>560</v>
      </c>
    </row>
    <row r="32" spans="1:8" ht="13.9" customHeight="1" x14ac:dyDescent="0.2">
      <c r="A32" s="430" t="s">
        <v>556</v>
      </c>
      <c r="B32" s="266">
        <v>540254.94999999995</v>
      </c>
      <c r="C32" s="266">
        <v>0</v>
      </c>
      <c r="D32" s="425">
        <f t="shared" si="1"/>
        <v>540254.94999999995</v>
      </c>
      <c r="E32" s="266">
        <v>103209.14</v>
      </c>
      <c r="F32" s="266">
        <v>102642.66</v>
      </c>
      <c r="G32" s="425">
        <f t="shared" si="2"/>
        <v>437045.80999999994</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
      <c r="A37" s="426" t="s">
        <v>428</v>
      </c>
      <c r="B37" s="268">
        <f>B6+B9+B13+B21+B26</f>
        <v>298657678.38999999</v>
      </c>
      <c r="C37" s="268">
        <f t="shared" ref="C37:G37" si="7">C6+C9+C13+C21+C26</f>
        <v>46722752.899999999</v>
      </c>
      <c r="D37" s="268">
        <f t="shared" si="7"/>
        <v>345380431.29000002</v>
      </c>
      <c r="E37" s="268">
        <f t="shared" si="7"/>
        <v>81002520.25</v>
      </c>
      <c r="F37" s="268">
        <f t="shared" si="7"/>
        <v>79782494.779999986</v>
      </c>
      <c r="G37" s="268">
        <f t="shared" si="7"/>
        <v>264377911.03999999</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679</v>
      </c>
      <c r="B1" s="515"/>
      <c r="C1" s="515"/>
      <c r="D1" s="515"/>
      <c r="E1" s="515"/>
      <c r="F1" s="515"/>
      <c r="G1" s="318" t="s">
        <v>0</v>
      </c>
      <c r="H1" s="319">
        <v>2026</v>
      </c>
    </row>
    <row r="2" spans="1:10" ht="18.95" customHeight="1" x14ac:dyDescent="0.2">
      <c r="A2" s="514" t="s">
        <v>571</v>
      </c>
      <c r="B2" s="515"/>
      <c r="C2" s="515"/>
      <c r="D2" s="515"/>
      <c r="E2" s="515"/>
      <c r="F2" s="515"/>
      <c r="G2" s="318" t="s">
        <v>2</v>
      </c>
      <c r="H2" s="319" t="s">
        <v>3</v>
      </c>
    </row>
    <row r="3" spans="1:10" ht="18.95" customHeight="1" x14ac:dyDescent="0.2">
      <c r="A3" s="511" t="s">
        <v>727</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298657678.38999999</v>
      </c>
      <c r="D41" s="328"/>
      <c r="E41" s="328"/>
      <c r="F41" s="328"/>
    </row>
    <row r="42" spans="1:6" x14ac:dyDescent="0.2">
      <c r="A42" s="320">
        <v>8120</v>
      </c>
      <c r="B42" s="331" t="s">
        <v>609</v>
      </c>
      <c r="C42" s="332">
        <v>-217236340.69</v>
      </c>
      <c r="D42" s="328"/>
      <c r="E42" s="328"/>
      <c r="F42" s="328"/>
    </row>
    <row r="43" spans="1:6" x14ac:dyDescent="0.2">
      <c r="A43" s="320">
        <v>8130</v>
      </c>
      <c r="B43" s="331" t="s">
        <v>610</v>
      </c>
      <c r="C43" s="332">
        <v>21683730.149999999</v>
      </c>
      <c r="D43" s="328"/>
      <c r="E43" s="328"/>
      <c r="F43" s="328"/>
    </row>
    <row r="44" spans="1:6" x14ac:dyDescent="0.2">
      <c r="A44" s="320">
        <v>8140</v>
      </c>
      <c r="B44" s="331" t="s">
        <v>611</v>
      </c>
      <c r="C44" s="332">
        <v>-21330</v>
      </c>
      <c r="D44" s="328"/>
      <c r="E44" s="328"/>
      <c r="F44" s="328"/>
    </row>
    <row r="45" spans="1:6" x14ac:dyDescent="0.2">
      <c r="A45" s="320">
        <v>8150</v>
      </c>
      <c r="B45" s="331" t="s">
        <v>612</v>
      </c>
      <c r="C45" s="332">
        <v>-103083737.84999999</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-298657678.38999999</v>
      </c>
    </row>
    <row r="51" spans="1:3" x14ac:dyDescent="0.2">
      <c r="A51" s="320">
        <v>8220</v>
      </c>
      <c r="B51" s="331" t="s">
        <v>615</v>
      </c>
      <c r="C51" s="338">
        <v>129307028.12</v>
      </c>
    </row>
    <row r="52" spans="1:3" x14ac:dyDescent="0.2">
      <c r="A52" s="320">
        <v>8230</v>
      </c>
      <c r="B52" s="331" t="s">
        <v>616</v>
      </c>
      <c r="C52" s="338">
        <v>-46722752.899999999</v>
      </c>
    </row>
    <row r="53" spans="1:3" x14ac:dyDescent="0.2">
      <c r="A53" s="320">
        <v>8240</v>
      </c>
      <c r="B53" s="331" t="s">
        <v>617</v>
      </c>
      <c r="C53" s="338">
        <v>135094337.91999999</v>
      </c>
    </row>
    <row r="54" spans="1:3" x14ac:dyDescent="0.2">
      <c r="A54" s="320">
        <v>8250</v>
      </c>
      <c r="B54" s="331" t="s">
        <v>618</v>
      </c>
      <c r="C54" s="338">
        <v>75016.81</v>
      </c>
    </row>
    <row r="55" spans="1:3" x14ac:dyDescent="0.2">
      <c r="A55" s="320">
        <v>8260</v>
      </c>
      <c r="B55" s="331" t="s">
        <v>619</v>
      </c>
      <c r="C55" s="338">
        <v>1121553.6599999999</v>
      </c>
    </row>
    <row r="56" spans="1:3" x14ac:dyDescent="0.2">
      <c r="A56" s="320">
        <v>8270</v>
      </c>
      <c r="B56" s="331" t="s">
        <v>620</v>
      </c>
      <c r="C56" s="338">
        <v>79782494.780000001</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40"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679</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680</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26765343.470000014</v>
      </c>
      <c r="E7" s="196" t="s">
        <v>272</v>
      </c>
      <c r="F7" s="358">
        <f>IF(ESF!E36&gt;0,ESF!E36,ESF!E36*-1)</f>
        <v>26765343.469999999</v>
      </c>
      <c r="G7" s="382">
        <f>ROUND(D7-F7,2)</f>
        <v>0</v>
      </c>
      <c r="H7" s="84" t="s">
        <v>282</v>
      </c>
      <c r="I7" s="369">
        <f>IF(ACT!C66&gt;0,ACT!C66,ACT!C66*-1)</f>
        <v>39258188.769999981</v>
      </c>
      <c r="J7" s="85" t="s">
        <v>272</v>
      </c>
      <c r="K7" s="375">
        <f>IF(ESF!F36&gt;0,ESF!F36,ESF!F36*-1)</f>
        <v>39258188.770000003</v>
      </c>
      <c r="L7" s="377">
        <f>ROUND(I7-K7,2)</f>
        <v>0</v>
      </c>
      <c r="M7" s="136" t="s">
        <v>203</v>
      </c>
    </row>
    <row r="8" spans="1:13" ht="12" thickBot="1" x14ac:dyDescent="0.25">
      <c r="A8" s="72" t="s">
        <v>12</v>
      </c>
      <c r="B8" s="171" t="s">
        <v>203</v>
      </c>
      <c r="C8" s="86" t="s">
        <v>283</v>
      </c>
      <c r="D8" s="358">
        <f>IF(ACT!B66&gt;0,ACT!B66,ACT!B66*-1)</f>
        <v>26765343.470000014</v>
      </c>
      <c r="E8" s="87" t="s">
        <v>286</v>
      </c>
      <c r="F8" s="364">
        <f>IF(VHP!D28&gt;0,VHP!D28,VHP!D28*-1)</f>
        <v>26765343.469999999</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39258188.769999981</v>
      </c>
      <c r="J9" s="91" t="s">
        <v>286</v>
      </c>
      <c r="K9" s="370">
        <f>IF(VHP!D10&gt;0,VHP!D10,VHP!D10*-1)</f>
        <v>39258188.770000003</v>
      </c>
      <c r="L9" s="378">
        <f>ROUND(I9-K9,2)</f>
        <v>0</v>
      </c>
      <c r="M9" s="137" t="s">
        <v>203</v>
      </c>
    </row>
    <row r="10" spans="1:13" ht="12" thickBot="1" x14ac:dyDescent="0.25">
      <c r="A10" s="72" t="s">
        <v>17</v>
      </c>
      <c r="B10" s="171" t="s">
        <v>203</v>
      </c>
      <c r="C10" s="92"/>
      <c r="D10" s="93"/>
      <c r="E10" s="94" t="s">
        <v>286</v>
      </c>
      <c r="F10" s="364">
        <f>IF(VHP!D29&gt;0,VHP!D29,VHP!D29*-1)</f>
        <v>39258188.770000003</v>
      </c>
      <c r="G10" s="95"/>
      <c r="H10" s="90" t="s">
        <v>282</v>
      </c>
      <c r="I10" s="369">
        <f>IF(ACT!C66&gt;0,ACT!C66,ACT!C66*-1)</f>
        <v>39258188.769999981</v>
      </c>
      <c r="J10" s="96"/>
      <c r="K10" s="97"/>
      <c r="L10" s="378">
        <f>ROUND(F10-I10,2)</f>
        <v>0</v>
      </c>
      <c r="M10" s="137" t="s">
        <v>203</v>
      </c>
    </row>
    <row r="11" spans="1:13" ht="12" thickBot="1" x14ac:dyDescent="0.25">
      <c r="A11" s="72" t="s">
        <v>19</v>
      </c>
      <c r="B11" s="171" t="s">
        <v>203</v>
      </c>
      <c r="C11" s="90" t="s">
        <v>272</v>
      </c>
      <c r="D11" s="359">
        <f>IF(ESF!E36&gt;0,ESF!E36,ESF!E36*-1)</f>
        <v>26765343.469999999</v>
      </c>
      <c r="E11" s="98" t="s">
        <v>282</v>
      </c>
      <c r="F11" s="365">
        <f>IF(ACT!B66&gt;0,ACT!B66,ACT!B66*-1)</f>
        <v>26765343.470000014</v>
      </c>
      <c r="G11" s="384">
        <f t="shared" ref="G11:G28" si="0">ROUND(D11-F11,2)</f>
        <v>0</v>
      </c>
      <c r="H11" s="90" t="s">
        <v>272</v>
      </c>
      <c r="I11" s="371">
        <f>IF(ESF!F36&gt;0,ESF!F36,ESF!F36*-1)</f>
        <v>39258188.770000003</v>
      </c>
      <c r="J11" s="91" t="s">
        <v>282</v>
      </c>
      <c r="K11" s="370">
        <f>IF(ACT!C66&gt;0,ACT!C66,ACT!C66*-1)</f>
        <v>39258188.769999981</v>
      </c>
      <c r="L11" s="378">
        <f>ROUND(I11-K11,2)</f>
        <v>0</v>
      </c>
      <c r="M11" s="137" t="s">
        <v>203</v>
      </c>
    </row>
    <row r="12" spans="1:13" x14ac:dyDescent="0.2">
      <c r="A12" s="73" t="s">
        <v>22</v>
      </c>
      <c r="B12" s="173" t="s">
        <v>160</v>
      </c>
      <c r="C12" s="99" t="s">
        <v>272</v>
      </c>
      <c r="D12" s="360">
        <f>IF(ESF!B5&gt;0,ESF!B5,ESF!B5*-1)</f>
        <v>97763947.230000004</v>
      </c>
      <c r="E12" s="100" t="s">
        <v>273</v>
      </c>
      <c r="F12" s="366">
        <f>IF(EAA!E5&gt;0,EAA!E5,EAA!E5*-1)</f>
        <v>97763947.229999959</v>
      </c>
      <c r="G12" s="385">
        <f t="shared" si="0"/>
        <v>0</v>
      </c>
      <c r="H12" s="101" t="s">
        <v>272</v>
      </c>
      <c r="I12" s="372">
        <f>IF(ESF!C5&gt;0,ESF!C5,ESF!C5*-1)</f>
        <v>63443712.939999998</v>
      </c>
      <c r="J12" s="102" t="s">
        <v>273</v>
      </c>
      <c r="K12" s="376">
        <f>IF(EAA!B5&gt;0,EAA!B5,EAA!B5*-1)</f>
        <v>63443712.939999998</v>
      </c>
      <c r="L12" s="379">
        <f t="shared" ref="L12:L43" si="1">ROUND(I12-K12,2)</f>
        <v>0</v>
      </c>
      <c r="M12" s="138" t="s">
        <v>160</v>
      </c>
    </row>
    <row r="13" spans="1:13" x14ac:dyDescent="0.2">
      <c r="A13" s="74"/>
      <c r="B13" s="164" t="s">
        <v>162</v>
      </c>
      <c r="C13" s="103" t="s">
        <v>272</v>
      </c>
      <c r="D13" s="361">
        <f>IF(ESF!B6&gt;0,ESF!B6,ESF!B6*-1)</f>
        <v>959115.73</v>
      </c>
      <c r="E13" s="104" t="s">
        <v>273</v>
      </c>
      <c r="F13" s="367">
        <f>IF(EAA!E6&gt;0,EAA!E6,EAA!E6*-1)</f>
        <v>959115.72999998927</v>
      </c>
      <c r="G13" s="386">
        <f t="shared" si="0"/>
        <v>0</v>
      </c>
      <c r="H13" s="105" t="s">
        <v>272</v>
      </c>
      <c r="I13" s="373">
        <f>IF(ESF!C6&gt;0,ESF!C6,ESF!C6*-1)</f>
        <v>1131365.69</v>
      </c>
      <c r="J13" s="94" t="s">
        <v>273</v>
      </c>
      <c r="K13" s="373">
        <f>IF(EAA!B6&gt;0,EAA!B6,EAA!B6*-1)</f>
        <v>1131365.69</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12917813.619999999</v>
      </c>
      <c r="J14" s="94" t="s">
        <v>273</v>
      </c>
      <c r="K14" s="373">
        <f>IF(EAA!B7&gt;0,EAA!B7,EAA!B7*-1)</f>
        <v>12917813.619999999</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150230602.96000001</v>
      </c>
      <c r="E21" s="104" t="s">
        <v>273</v>
      </c>
      <c r="F21" s="367">
        <f>IF(EAA!E15&gt;0,EAA!E15,EAA!E15*-1)</f>
        <v>150230602.95999998</v>
      </c>
      <c r="G21" s="386">
        <f t="shared" si="0"/>
        <v>0</v>
      </c>
      <c r="H21" s="105" t="s">
        <v>272</v>
      </c>
      <c r="I21" s="373">
        <f>IF(ESF!C18&gt;0,ESF!C18,ESF!C18*-1)</f>
        <v>155125505.40000001</v>
      </c>
      <c r="J21" s="94" t="s">
        <v>273</v>
      </c>
      <c r="K21" s="373">
        <f>IF(EAA!B15&gt;0,EAA!B15,EAA!B15*-1)</f>
        <v>155125505.40000001</v>
      </c>
      <c r="L21" s="380">
        <f t="shared" si="1"/>
        <v>0</v>
      </c>
      <c r="M21" s="139" t="s">
        <v>182</v>
      </c>
    </row>
    <row r="22" spans="1:13" x14ac:dyDescent="0.2">
      <c r="A22" s="74"/>
      <c r="B22" s="164" t="s">
        <v>184</v>
      </c>
      <c r="C22" s="103" t="s">
        <v>272</v>
      </c>
      <c r="D22" s="361">
        <f>IF(ESF!B19&gt;0,ESF!B19,ESF!B19*-1)</f>
        <v>68577592.439999998</v>
      </c>
      <c r="E22" s="104" t="s">
        <v>273</v>
      </c>
      <c r="F22" s="367">
        <f>IF(EAA!E16&gt;0,EAA!E16,EAA!E16*-1)</f>
        <v>68577592.439999998</v>
      </c>
      <c r="G22" s="386">
        <f t="shared" si="0"/>
        <v>0</v>
      </c>
      <c r="H22" s="105" t="s">
        <v>272</v>
      </c>
      <c r="I22" s="373">
        <f>IF(ESF!C19&gt;0,ESF!C19,ESF!C19*-1)</f>
        <v>69862591.939999998</v>
      </c>
      <c r="J22" s="94" t="s">
        <v>273</v>
      </c>
      <c r="K22" s="373">
        <f>IF(EAA!B16&gt;0,EAA!B16,EAA!B16*-1)</f>
        <v>69862591.939999998</v>
      </c>
      <c r="L22" s="380">
        <f t="shared" si="1"/>
        <v>0</v>
      </c>
      <c r="M22" s="139" t="s">
        <v>184</v>
      </c>
    </row>
    <row r="23" spans="1:13" x14ac:dyDescent="0.2">
      <c r="A23" s="74"/>
      <c r="B23" s="164" t="s">
        <v>186</v>
      </c>
      <c r="C23" s="103" t="s">
        <v>272</v>
      </c>
      <c r="D23" s="361">
        <f>IF(ESF!B20&gt;0,ESF!B20,ESF!B20*-1)</f>
        <v>5635418.46</v>
      </c>
      <c r="E23" s="104" t="s">
        <v>273</v>
      </c>
      <c r="F23" s="367">
        <f>IF(EAA!E17&gt;0,EAA!E17,EAA!E17*-1)</f>
        <v>5635418.46</v>
      </c>
      <c r="G23" s="386">
        <f t="shared" si="0"/>
        <v>0</v>
      </c>
      <c r="H23" s="105" t="s">
        <v>272</v>
      </c>
      <c r="I23" s="373">
        <f>IF(ESF!C20&gt;0,ESF!C20,ESF!C20*-1)</f>
        <v>5642138.46</v>
      </c>
      <c r="J23" s="94" t="s">
        <v>273</v>
      </c>
      <c r="K23" s="373">
        <f>IF(EAA!B17&gt;0,EAA!B17,EAA!B17*-1)</f>
        <v>5642138.46</v>
      </c>
      <c r="L23" s="380">
        <f t="shared" si="1"/>
        <v>0</v>
      </c>
      <c r="M23" s="139" t="s">
        <v>186</v>
      </c>
    </row>
    <row r="24" spans="1:13" ht="22.5" x14ac:dyDescent="0.2">
      <c r="A24" s="74"/>
      <c r="B24" s="164" t="s">
        <v>188</v>
      </c>
      <c r="C24" s="103" t="s">
        <v>272</v>
      </c>
      <c r="D24" s="361">
        <f>IF(ESF!B21&gt;0,ESF!B21,ESF!B21*-1)</f>
        <v>76765321.200000003</v>
      </c>
      <c r="E24" s="104" t="s">
        <v>273</v>
      </c>
      <c r="F24" s="367">
        <f>IF(EAA!E18&gt;0,EAA!E18,EAA!E18*-1)</f>
        <v>76765321.200000003</v>
      </c>
      <c r="G24" s="386">
        <f t="shared" si="0"/>
        <v>0</v>
      </c>
      <c r="H24" s="105" t="s">
        <v>272</v>
      </c>
      <c r="I24" s="373">
        <f>IF(ESF!C21&gt;0,ESF!C21,ESF!C21*-1)</f>
        <v>76249267.260000005</v>
      </c>
      <c r="J24" s="94" t="s">
        <v>273</v>
      </c>
      <c r="K24" s="373">
        <f>IF(EAA!B18&gt;0,EAA!B18,EAA!B18*-1)</f>
        <v>76249267.260000005</v>
      </c>
      <c r="L24" s="380">
        <f t="shared" si="1"/>
        <v>0</v>
      </c>
      <c r="M24" s="139" t="s">
        <v>188</v>
      </c>
    </row>
    <row r="25" spans="1:13" x14ac:dyDescent="0.2">
      <c r="A25" s="74"/>
      <c r="B25" s="164" t="s">
        <v>190</v>
      </c>
      <c r="C25" s="103" t="s">
        <v>272</v>
      </c>
      <c r="D25" s="361">
        <f>IF(ESF!B22&gt;0,ESF!B22,ESF!B22*-1)</f>
        <v>745601.53</v>
      </c>
      <c r="E25" s="104" t="s">
        <v>273</v>
      </c>
      <c r="F25" s="367">
        <f>IF(EAA!E19&gt;0,EAA!E19,EAA!E19*-1)</f>
        <v>745601.53</v>
      </c>
      <c r="G25" s="386">
        <f t="shared" si="0"/>
        <v>0</v>
      </c>
      <c r="H25" s="105" t="s">
        <v>272</v>
      </c>
      <c r="I25" s="373">
        <f>IF(ESF!C22&gt;0,ESF!C22,ESF!C22*-1)</f>
        <v>745601.53</v>
      </c>
      <c r="J25" s="94" t="s">
        <v>273</v>
      </c>
      <c r="K25" s="373">
        <f>IF(EAA!B19&gt;0,EAA!B19,EAA!B19*-1)</f>
        <v>745601.53</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97763947.230000004</v>
      </c>
      <c r="E28" s="111" t="s">
        <v>274</v>
      </c>
      <c r="F28" s="359">
        <f>IF(EFE!B65&gt;0,EFE!B65,EFE!B65*-1)</f>
        <v>97763947.230000004</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63443712.939999998</v>
      </c>
      <c r="J29" s="91" t="s">
        <v>274</v>
      </c>
      <c r="K29" s="370">
        <f>IF(EFE!B63&gt;0,EFE!B63,EFE!B63*-1)</f>
        <v>63443712.939999998</v>
      </c>
      <c r="L29" s="378">
        <f t="shared" si="1"/>
        <v>0</v>
      </c>
      <c r="M29" s="137" t="s">
        <v>160</v>
      </c>
    </row>
    <row r="30" spans="1:13" ht="12" thickBot="1" x14ac:dyDescent="0.25">
      <c r="A30" s="72" t="s">
        <v>30</v>
      </c>
      <c r="B30" s="171" t="s">
        <v>275</v>
      </c>
      <c r="C30" s="110" t="s">
        <v>272</v>
      </c>
      <c r="D30" s="359">
        <f>IF(ESF!B28&gt;0,ESF!B28,ESF!B28*-1)</f>
        <v>247146957.15000004</v>
      </c>
      <c r="E30" s="91" t="s">
        <v>272</v>
      </c>
      <c r="F30" s="359">
        <f>IF(ESF!E48&gt;0,ESF!E48,ESF!E48*-1)</f>
        <v>247146957.15000001</v>
      </c>
      <c r="G30" s="384">
        <f>ROUND(D30-F30,2)</f>
        <v>0</v>
      </c>
      <c r="H30" s="90" t="s">
        <v>272</v>
      </c>
      <c r="I30" s="370">
        <f>IF(ESF!C28&gt;0,ESF!C28,ESF!C28*-1)</f>
        <v>232619462.32000002</v>
      </c>
      <c r="J30" s="91" t="s">
        <v>272</v>
      </c>
      <c r="K30" s="370">
        <f>IF(ESF!F48&gt;0,ESF!F48,ESF!F48*-1)</f>
        <v>232619462.31999999</v>
      </c>
      <c r="L30" s="378">
        <f t="shared" si="1"/>
        <v>0</v>
      </c>
      <c r="M30" s="137" t="s">
        <v>275</v>
      </c>
    </row>
    <row r="31" spans="1:13" ht="12" thickBot="1" x14ac:dyDescent="0.25">
      <c r="A31" s="72" t="s">
        <v>33</v>
      </c>
      <c r="B31" s="171" t="s">
        <v>276</v>
      </c>
      <c r="C31" s="110" t="s">
        <v>272</v>
      </c>
      <c r="D31" s="359">
        <f>IF(ESF!E26&gt;0,ESF!E26,ESF!E26*-1)</f>
        <v>16365234.08</v>
      </c>
      <c r="E31" s="91" t="s">
        <v>287</v>
      </c>
      <c r="F31" s="359">
        <f>IF(ADP!E34&gt;0,ADP!E34,ADP!E34*-1)</f>
        <v>16365234.08</v>
      </c>
      <c r="G31" s="384">
        <f>ROUND(D31-F31,2)</f>
        <v>0</v>
      </c>
      <c r="H31" s="90" t="s">
        <v>272</v>
      </c>
      <c r="I31" s="370">
        <f>IF(ESF!F26&gt;0,ESF!F26,ESF!F26*-1)</f>
        <v>17933098.289999999</v>
      </c>
      <c r="J31" s="91" t="s">
        <v>287</v>
      </c>
      <c r="K31" s="370">
        <f>IF(ADP!D34&gt;0,ADP!D34,ADP!D34*-1)</f>
        <v>17933098.289999999</v>
      </c>
      <c r="L31" s="378">
        <f t="shared" si="1"/>
        <v>0</v>
      </c>
      <c r="M31" s="137" t="s">
        <v>276</v>
      </c>
    </row>
    <row r="32" spans="1:13" x14ac:dyDescent="0.2">
      <c r="A32" s="73" t="s">
        <v>36</v>
      </c>
      <c r="B32" s="175" t="s">
        <v>199</v>
      </c>
      <c r="C32" s="446"/>
      <c r="D32" s="447"/>
      <c r="E32" s="447"/>
      <c r="F32" s="447"/>
      <c r="G32" s="448"/>
      <c r="H32" s="101" t="s">
        <v>272</v>
      </c>
      <c r="I32" s="388">
        <f>IF(ESF!F30&gt;0,ESF!F30,ESF!F30*-1)</f>
        <v>96911468.189999998</v>
      </c>
      <c r="J32" s="102" t="s">
        <v>286</v>
      </c>
      <c r="K32" s="388">
        <f>IF(VHP!B4&gt;0,VHP!B4,VHP!B4*-1)</f>
        <v>96911468.189999998</v>
      </c>
      <c r="L32" s="379">
        <f t="shared" si="1"/>
        <v>0</v>
      </c>
      <c r="M32" s="141" t="s">
        <v>199</v>
      </c>
    </row>
    <row r="33" spans="1:15" ht="12" thickBot="1" x14ac:dyDescent="0.25">
      <c r="A33" s="75"/>
      <c r="B33" s="176" t="s">
        <v>199</v>
      </c>
      <c r="C33" s="449"/>
      <c r="D33" s="450"/>
      <c r="E33" s="450"/>
      <c r="F33" s="450"/>
      <c r="G33" s="451"/>
      <c r="H33" s="117" t="s">
        <v>272</v>
      </c>
      <c r="I33" s="374">
        <f>IF(ESF!F30&gt;0,ESF!F30,ESF!F30*-1)</f>
        <v>96911468.189999998</v>
      </c>
      <c r="J33" s="109" t="s">
        <v>286</v>
      </c>
      <c r="K33" s="374">
        <f>IF(VHP!F4&gt;0,VHP!F4,VHP!F4*-1)</f>
        <v>96911468.189999998</v>
      </c>
      <c r="L33" s="381">
        <f t="shared" si="1"/>
        <v>0</v>
      </c>
      <c r="M33" s="142" t="s">
        <v>199</v>
      </c>
    </row>
    <row r="34" spans="1:15" ht="12" thickBot="1" x14ac:dyDescent="0.25">
      <c r="A34" s="72" t="s">
        <v>39</v>
      </c>
      <c r="B34" s="177" t="s">
        <v>202</v>
      </c>
      <c r="C34" s="449"/>
      <c r="D34" s="450"/>
      <c r="E34" s="450"/>
      <c r="F34" s="450"/>
      <c r="G34" s="451"/>
      <c r="H34" s="90" t="s">
        <v>272</v>
      </c>
      <c r="I34" s="370">
        <f>IF(ESF!F35&gt;0,ESF!F35,ESF!F35*-1)</f>
        <v>117774895.84</v>
      </c>
      <c r="J34" s="91" t="s">
        <v>286</v>
      </c>
      <c r="K34" s="370">
        <f>IF(VHP!F9&gt;0,VHP!F9,VHP!F9*-1)</f>
        <v>117774895.84</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230781723.06999999</v>
      </c>
      <c r="E37" s="91" t="s">
        <v>286</v>
      </c>
      <c r="F37" s="359">
        <f>IF(VHP!F38&gt;0,VHP!F38,VHP!F38*-1)</f>
        <v>230781723.06999999</v>
      </c>
      <c r="G37" s="389">
        <f>ROUND(D37-F37,2)</f>
        <v>0</v>
      </c>
      <c r="H37" s="90" t="s">
        <v>272</v>
      </c>
      <c r="I37" s="370">
        <f>IF(ESF!F46&gt;0,ESF!F46,ESF!F46*-1)</f>
        <v>214686364.03</v>
      </c>
      <c r="J37" s="91" t="s">
        <v>286</v>
      </c>
      <c r="K37" s="370">
        <f>IF(VHP!F20&gt;0,VHP!F20,VHP!F20*-1)</f>
        <v>214686364.03</v>
      </c>
      <c r="L37" s="378">
        <f t="shared" si="1"/>
        <v>0</v>
      </c>
      <c r="M37" s="146" t="s">
        <v>277</v>
      </c>
    </row>
    <row r="38" spans="1:15" ht="22.5" x14ac:dyDescent="0.2">
      <c r="A38" s="73" t="s">
        <v>45</v>
      </c>
      <c r="B38" s="175" t="s">
        <v>278</v>
      </c>
      <c r="C38" s="446"/>
      <c r="D38" s="447"/>
      <c r="E38" s="447"/>
      <c r="F38" s="447"/>
      <c r="G38" s="448"/>
      <c r="H38" s="101" t="s">
        <v>286</v>
      </c>
      <c r="I38" s="388">
        <f>IF(VHP!B4&gt;0,VHP!B4,VHP!B4*-1)</f>
        <v>96911468.189999998</v>
      </c>
      <c r="J38" s="102" t="s">
        <v>272</v>
      </c>
      <c r="K38" s="388">
        <f>IF(ESF!F30&gt;0,ESF!F30,ESF!F30*-1)</f>
        <v>96911468.189999998</v>
      </c>
      <c r="L38" s="379">
        <f t="shared" si="1"/>
        <v>0</v>
      </c>
      <c r="M38" s="141" t="s">
        <v>278</v>
      </c>
    </row>
    <row r="39" spans="1:15" ht="23.25" thickBot="1" x14ac:dyDescent="0.25">
      <c r="A39" s="75"/>
      <c r="B39" s="176" t="s">
        <v>278</v>
      </c>
      <c r="C39" s="449"/>
      <c r="D39" s="450"/>
      <c r="E39" s="450"/>
      <c r="F39" s="450"/>
      <c r="G39" s="451"/>
      <c r="H39" s="117" t="s">
        <v>286</v>
      </c>
      <c r="I39" s="374">
        <f>IF(VHP!F4&gt;0,VHP!F4,VHP!F4*-1)</f>
        <v>96911468.189999998</v>
      </c>
      <c r="J39" s="109" t="s">
        <v>272</v>
      </c>
      <c r="K39" s="374">
        <f>IF(ESF!F30&gt;0,ESF!F30,ESF!F30*-1)</f>
        <v>96911468.189999998</v>
      </c>
      <c r="L39" s="381">
        <f t="shared" si="1"/>
        <v>0</v>
      </c>
      <c r="M39" s="142" t="s">
        <v>278</v>
      </c>
    </row>
    <row r="40" spans="1:15" ht="23.25" thickBot="1" x14ac:dyDescent="0.25">
      <c r="A40" s="72" t="s">
        <v>48</v>
      </c>
      <c r="B40" s="177" t="s">
        <v>279</v>
      </c>
      <c r="C40" s="449"/>
      <c r="D40" s="450"/>
      <c r="E40" s="450"/>
      <c r="F40" s="450"/>
      <c r="G40" s="451"/>
      <c r="H40" s="90" t="s">
        <v>286</v>
      </c>
      <c r="I40" s="370">
        <f>IF(VHP!F9&gt;0,VHP!F9,VHP!F9*-1)</f>
        <v>117774895.84</v>
      </c>
      <c r="J40" s="91" t="s">
        <v>272</v>
      </c>
      <c r="K40" s="370">
        <f>IF(ESF!F35&gt;0,ESF!F35,ESF!F35*-1)</f>
        <v>117774895.84</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230781723.06999999</v>
      </c>
      <c r="E43" s="91" t="s">
        <v>272</v>
      </c>
      <c r="F43" s="118">
        <f>IF(ESF!E46&gt;0,ESF!E46,ESF!E46*-1)</f>
        <v>230781723.06999999</v>
      </c>
      <c r="G43" s="384">
        <f t="shared" ref="G43:G49" si="2">ROUND(D43-F43,2)</f>
        <v>0</v>
      </c>
      <c r="H43" s="90" t="s">
        <v>286</v>
      </c>
      <c r="I43" s="370">
        <f>IF(VHP!F20&gt;0,VHP!F20,VHP!F20*-1)</f>
        <v>214686364.03</v>
      </c>
      <c r="J43" s="91" t="s">
        <v>272</v>
      </c>
      <c r="K43" s="370">
        <f>IF(ESF!F46&gt;0,ESF!F46,ESF!F46*-1)</f>
        <v>214686364.03</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28588204.34</v>
      </c>
      <c r="E50" s="91" t="s">
        <v>288</v>
      </c>
      <c r="F50" s="118">
        <f>IF(CSF!$B52&gt;0,CSF!$B52,CSF!$C52)</f>
        <v>28588204.34</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12492845.300000004</v>
      </c>
      <c r="E53" s="91" t="s">
        <v>288</v>
      </c>
      <c r="F53" s="118">
        <f>IF(CSF!$B51&gt;0,CSF!$B51,CSF!$C51)</f>
        <v>12492845.300000001</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26765343.469999999</v>
      </c>
      <c r="E54" s="102" t="s">
        <v>272</v>
      </c>
      <c r="F54" s="119">
        <f>IF(ESF!E36&gt;0,ESF!E36,ESF!E36*-1)</f>
        <v>26765343.469999999</v>
      </c>
      <c r="G54" s="385">
        <f t="shared" si="3"/>
        <v>0</v>
      </c>
      <c r="H54" s="449"/>
      <c r="I54" s="450"/>
      <c r="J54" s="450"/>
      <c r="K54" s="450"/>
      <c r="L54" s="451"/>
      <c r="M54" s="152" t="s">
        <v>154</v>
      </c>
    </row>
    <row r="55" spans="1:13" ht="12" thickBot="1" x14ac:dyDescent="0.25">
      <c r="A55" s="75"/>
      <c r="B55" s="183" t="s">
        <v>154</v>
      </c>
      <c r="C55" s="117" t="s">
        <v>286</v>
      </c>
      <c r="D55" s="368">
        <f>IF(VHP!D28&gt;0,VHP!D28,VHP!D28*-1)</f>
        <v>26765343.469999999</v>
      </c>
      <c r="E55" s="109" t="s">
        <v>282</v>
      </c>
      <c r="F55" s="124">
        <f>IF(ACT!B66&gt;0,ACT!B66,ACT!B66*-1)</f>
        <v>26765343.470000014</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39258188.770000003</v>
      </c>
      <c r="J56" s="131" t="s">
        <v>272</v>
      </c>
      <c r="K56" s="376">
        <f>IF(ESF!F36&gt;0,ESF!F36,ESF!F36*-1)</f>
        <v>39258188.770000003</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39258188.770000003</v>
      </c>
      <c r="J57" s="94" t="s">
        <v>282</v>
      </c>
      <c r="K57" s="394">
        <f>IF(ACT!C66&gt;0,ACT!C66,ACT!C66*-1)</f>
        <v>39258188.769999981</v>
      </c>
      <c r="L57" s="380">
        <f t="shared" si="4"/>
        <v>0</v>
      </c>
      <c r="M57" s="150" t="s">
        <v>154</v>
      </c>
    </row>
    <row r="58" spans="1:13" x14ac:dyDescent="0.2">
      <c r="A58" s="83" t="s">
        <v>68</v>
      </c>
      <c r="B58" s="193" t="s">
        <v>204</v>
      </c>
      <c r="C58" s="122" t="s">
        <v>286</v>
      </c>
      <c r="D58" s="367">
        <f>IF(VHP!D29&gt;0,VHP!D29,VHP!D29*-1)</f>
        <v>39258188.770000003</v>
      </c>
      <c r="E58" s="128"/>
      <c r="F58" s="128"/>
      <c r="G58" s="128"/>
      <c r="H58" s="458"/>
      <c r="I58" s="459"/>
      <c r="J58" s="94" t="s">
        <v>272</v>
      </c>
      <c r="K58" s="373">
        <f>IF(ESF!F36&gt;0,ESF!F36,ESF!F36*-1)</f>
        <v>39258188.770000003</v>
      </c>
      <c r="L58" s="380">
        <f>ROUND((D58-K58),2)</f>
        <v>0</v>
      </c>
      <c r="M58" s="154" t="s">
        <v>204</v>
      </c>
    </row>
    <row r="59" spans="1:13" ht="12" thickBot="1" x14ac:dyDescent="0.25">
      <c r="A59" s="75"/>
      <c r="B59" s="194" t="s">
        <v>204</v>
      </c>
      <c r="C59" s="125" t="s">
        <v>286</v>
      </c>
      <c r="D59" s="393">
        <f>IF(VHP!D29&gt;0,VHP!D29,VHP!D29*-1)</f>
        <v>39258188.770000003</v>
      </c>
      <c r="E59" s="128"/>
      <c r="F59" s="128"/>
      <c r="G59" s="128"/>
      <c r="H59" s="452"/>
      <c r="I59" s="460"/>
      <c r="J59" s="126" t="s">
        <v>283</v>
      </c>
      <c r="K59" s="394">
        <f>IF(ACT!C66&gt;0,ACT!C66,ACT!C66*-1)</f>
        <v>39258188.769999981</v>
      </c>
      <c r="L59" s="396">
        <f>ROUND((D59-K59),2)</f>
        <v>0</v>
      </c>
      <c r="M59" s="149" t="s">
        <v>204</v>
      </c>
    </row>
    <row r="60" spans="1:13" ht="12" thickBot="1" x14ac:dyDescent="0.25">
      <c r="A60" s="78" t="s">
        <v>72</v>
      </c>
      <c r="B60" s="186" t="s">
        <v>160</v>
      </c>
      <c r="C60" s="90" t="s">
        <v>288</v>
      </c>
      <c r="D60" s="118">
        <f>IF(CSF!$B5&gt;0,CSF!$B5,CSF!$C5)</f>
        <v>34320234.289999999</v>
      </c>
      <c r="E60" s="91" t="s">
        <v>274</v>
      </c>
      <c r="F60" s="118">
        <f>IF(EFE!B61&gt;0,EFE!B61,EFE!B61*-1)</f>
        <v>34320234.289999992</v>
      </c>
      <c r="G60" s="384">
        <f>ROUND(D60-F60,2)</f>
        <v>0</v>
      </c>
      <c r="H60" s="446"/>
      <c r="I60" s="447"/>
      <c r="J60" s="447"/>
      <c r="K60" s="447"/>
      <c r="L60" s="448"/>
      <c r="M60" s="155" t="s">
        <v>160</v>
      </c>
    </row>
    <row r="61" spans="1:13" x14ac:dyDescent="0.2">
      <c r="A61" s="76" t="s">
        <v>75</v>
      </c>
      <c r="B61" s="187" t="s">
        <v>160</v>
      </c>
      <c r="C61" s="101" t="s">
        <v>288</v>
      </c>
      <c r="D61" s="119">
        <f>IF(CSF!$B5&gt;0,CSF!$B5,CSF!$C5)</f>
        <v>34320234.289999999</v>
      </c>
      <c r="E61" s="102" t="s">
        <v>273</v>
      </c>
      <c r="F61" s="119">
        <f>IF(EAA!F5&gt;0,EAA!F5,EAA!F5*-1)</f>
        <v>34320234.289999962</v>
      </c>
      <c r="G61" s="385">
        <f>ROUND(D61-F61,2)</f>
        <v>0</v>
      </c>
      <c r="H61" s="449"/>
      <c r="I61" s="450"/>
      <c r="J61" s="450"/>
      <c r="K61" s="450"/>
      <c r="L61" s="451"/>
      <c r="M61" s="156" t="s">
        <v>160</v>
      </c>
    </row>
    <row r="62" spans="1:13" x14ac:dyDescent="0.2">
      <c r="A62" s="79"/>
      <c r="B62" s="167" t="s">
        <v>162</v>
      </c>
      <c r="C62" s="122" t="s">
        <v>288</v>
      </c>
      <c r="D62" s="123">
        <f>IF(CSF!$B6&gt;0,CSF!$B6,CSF!$C6)</f>
        <v>172249.96</v>
      </c>
      <c r="E62" s="94" t="s">
        <v>273</v>
      </c>
      <c r="F62" s="123">
        <f>IF(EAA!F6&gt;0,EAA!F6,EAA!F6*-1)</f>
        <v>172249.96000001067</v>
      </c>
      <c r="G62" s="386">
        <f>ROUND(D62-F62,2)</f>
        <v>0</v>
      </c>
      <c r="H62" s="449"/>
      <c r="I62" s="450"/>
      <c r="J62" s="450"/>
      <c r="K62" s="450"/>
      <c r="L62" s="451"/>
      <c r="M62" s="157" t="s">
        <v>162</v>
      </c>
    </row>
    <row r="63" spans="1:13" x14ac:dyDescent="0.2">
      <c r="A63" s="79"/>
      <c r="B63" s="167" t="s">
        <v>164</v>
      </c>
      <c r="C63" s="122" t="s">
        <v>288</v>
      </c>
      <c r="D63" s="123">
        <f>IF(CSF!$B7&gt;0,CSF!$B7,CSF!$C7)</f>
        <v>12917813.619999999</v>
      </c>
      <c r="E63" s="94" t="s">
        <v>273</v>
      </c>
      <c r="F63" s="123">
        <f>IF(EAA!F7&gt;0,EAA!F7,EAA!F7*-1)</f>
        <v>12917813.619999999</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4894902.4400000004</v>
      </c>
      <c r="E70" s="94" t="s">
        <v>273</v>
      </c>
      <c r="F70" s="123">
        <f>IF(EAA!F15&gt;0,EAA!F15,EAA!F15*-1)</f>
        <v>4894902.4400000274</v>
      </c>
      <c r="G70" s="386">
        <f t="shared" si="5"/>
        <v>0</v>
      </c>
      <c r="H70" s="449"/>
      <c r="I70" s="450"/>
      <c r="J70" s="450"/>
      <c r="K70" s="450"/>
      <c r="L70" s="451"/>
      <c r="M70" s="157" t="s">
        <v>182</v>
      </c>
    </row>
    <row r="71" spans="1:13" x14ac:dyDescent="0.2">
      <c r="A71" s="79"/>
      <c r="B71" s="167" t="s">
        <v>184</v>
      </c>
      <c r="C71" s="122" t="s">
        <v>288</v>
      </c>
      <c r="D71" s="123">
        <f>IF(CSF!$B17&gt;0,CSF!$B17,CSF!$C17)</f>
        <v>1284999.5</v>
      </c>
      <c r="E71" s="94" t="s">
        <v>273</v>
      </c>
      <c r="F71" s="123">
        <f>IF(EAA!F16&gt;0,EAA!F16,EAA!F16*-1)</f>
        <v>1284999.5</v>
      </c>
      <c r="G71" s="386">
        <f t="shared" si="5"/>
        <v>0</v>
      </c>
      <c r="H71" s="449"/>
      <c r="I71" s="450"/>
      <c r="J71" s="450"/>
      <c r="K71" s="450"/>
      <c r="L71" s="451"/>
      <c r="M71" s="157" t="s">
        <v>184</v>
      </c>
    </row>
    <row r="72" spans="1:13" x14ac:dyDescent="0.2">
      <c r="A72" s="79"/>
      <c r="B72" s="167" t="s">
        <v>186</v>
      </c>
      <c r="C72" s="122" t="s">
        <v>288</v>
      </c>
      <c r="D72" s="123">
        <f>IF(CSF!$B18&gt;0,CSF!$B18,CSF!$C18)</f>
        <v>6720</v>
      </c>
      <c r="E72" s="94" t="s">
        <v>273</v>
      </c>
      <c r="F72" s="123">
        <f>IF(EAA!F17&gt;0,EAA!F17,EAA!F17*-1)</f>
        <v>6720</v>
      </c>
      <c r="G72" s="386">
        <f t="shared" si="5"/>
        <v>0</v>
      </c>
      <c r="H72" s="449"/>
      <c r="I72" s="450"/>
      <c r="J72" s="450"/>
      <c r="K72" s="450"/>
      <c r="L72" s="451"/>
      <c r="M72" s="157" t="s">
        <v>186</v>
      </c>
    </row>
    <row r="73" spans="1:13" ht="22.5" x14ac:dyDescent="0.2">
      <c r="A73" s="79"/>
      <c r="B73" s="167" t="s">
        <v>188</v>
      </c>
      <c r="C73" s="122" t="s">
        <v>288</v>
      </c>
      <c r="D73" s="123">
        <f>IF(CSF!$B19&gt;0,CSF!$B19,CSF!$C19)</f>
        <v>516053.94</v>
      </c>
      <c r="E73" s="94" t="s">
        <v>273</v>
      </c>
      <c r="F73" s="123">
        <f>IF(EAA!F18&gt;0,EAA!F18,EAA!F18*-1)</f>
        <v>516053.93999999762</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12492845.300000001</v>
      </c>
      <c r="E80" s="91" t="s">
        <v>286</v>
      </c>
      <c r="F80" s="118">
        <f>IF((VHP!D28+VHP!D29)&gt;0,VHP!D28+VHP!D29,(VHP!D28+VHP!D29)*-1)</f>
        <v>12492845.300000004</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34320234.289999992</v>
      </c>
      <c r="E81" s="91" t="s">
        <v>288</v>
      </c>
      <c r="F81" s="118">
        <f>IF(CSF!$B5&gt;0,CSF!$B5,CSF!$C5)</f>
        <v>34320234.289999999</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97763947.230000004</v>
      </c>
      <c r="E82" s="91" t="s">
        <v>272</v>
      </c>
      <c r="F82" s="118">
        <f>IF(ESF!B5&gt;0,ESF!B5,ESF!B5*-1)</f>
        <v>97763947.230000004</v>
      </c>
      <c r="G82" s="384">
        <f t="shared" si="6"/>
        <v>0</v>
      </c>
      <c r="H82" s="90" t="s">
        <v>274</v>
      </c>
      <c r="I82" s="370">
        <f>IF(EFE!C65&gt;0,EFE!C65,EFE!C65*-1)</f>
        <v>63443712.939999998</v>
      </c>
      <c r="J82" s="91" t="s">
        <v>272</v>
      </c>
      <c r="K82" s="370">
        <f>IF(ESF!C5&gt;0,ESF!C5,ESF!C5*-1)</f>
        <v>63443712.939999998</v>
      </c>
      <c r="L82" s="378">
        <f t="shared" ref="L82:L99" si="7">ROUND(I82-K82,2)</f>
        <v>0</v>
      </c>
      <c r="M82" s="137" t="s">
        <v>245</v>
      </c>
    </row>
    <row r="83" spans="1:13" ht="23.25" thickBot="1" x14ac:dyDescent="0.25">
      <c r="A83" s="78" t="s">
        <v>89</v>
      </c>
      <c r="B83" s="171" t="s">
        <v>244</v>
      </c>
      <c r="C83" s="132" t="s">
        <v>274</v>
      </c>
      <c r="D83" s="359">
        <f>IF(EFE!B63&gt;0,EFE!B63,EFE!B63*-1)</f>
        <v>63443712.939999998</v>
      </c>
      <c r="E83" s="461"/>
      <c r="F83" s="456"/>
      <c r="G83" s="456"/>
      <c r="H83" s="456"/>
      <c r="I83" s="462"/>
      <c r="J83" s="91" t="s">
        <v>272</v>
      </c>
      <c r="K83" s="398">
        <f>IF(ESF!C5&gt;0,ESF!C5,ESF!C5*-1)</f>
        <v>63443712.939999998</v>
      </c>
      <c r="L83" s="378">
        <f>ROUND(D83-K83,2)</f>
        <v>0</v>
      </c>
      <c r="M83" s="137" t="s">
        <v>244</v>
      </c>
    </row>
    <row r="84" spans="1:13" x14ac:dyDescent="0.2">
      <c r="A84" s="76" t="s">
        <v>91</v>
      </c>
      <c r="B84" s="189" t="s">
        <v>160</v>
      </c>
      <c r="C84" s="101" t="s">
        <v>273</v>
      </c>
      <c r="D84" s="366">
        <f>IF(EAA!E5&gt;0,EAA!E5,EAA!E5*-1)</f>
        <v>97763947.229999959</v>
      </c>
      <c r="E84" s="102" t="s">
        <v>272</v>
      </c>
      <c r="F84" s="197">
        <f>IF(ESF!B5&gt;0,ESF!B5,ESF!B5*-1)</f>
        <v>97763947.230000004</v>
      </c>
      <c r="G84" s="385">
        <f t="shared" ref="G84:G99" si="8">ROUND(D84-F84,2)</f>
        <v>0</v>
      </c>
      <c r="H84" s="101" t="s">
        <v>273</v>
      </c>
      <c r="I84" s="364">
        <f>IF(EAA!B5&gt;0,EAA!B5,EAA!B5*-1)</f>
        <v>63443712.939999998</v>
      </c>
      <c r="J84" s="102" t="s">
        <v>272</v>
      </c>
      <c r="K84" s="388">
        <f>IF(ESF!C5&gt;0,ESF!C5,ESF!C5*-1)</f>
        <v>63443712.939999998</v>
      </c>
      <c r="L84" s="379">
        <f t="shared" si="7"/>
        <v>0</v>
      </c>
      <c r="M84" s="159" t="s">
        <v>160</v>
      </c>
    </row>
    <row r="85" spans="1:13" x14ac:dyDescent="0.2">
      <c r="A85" s="79"/>
      <c r="B85" s="168" t="s">
        <v>162</v>
      </c>
      <c r="C85" s="122" t="s">
        <v>273</v>
      </c>
      <c r="D85" s="367">
        <f>IF(EAA!E6&gt;0,EAA!E6,EAA!E6*-1)</f>
        <v>959115.72999998927</v>
      </c>
      <c r="E85" s="94" t="s">
        <v>272</v>
      </c>
      <c r="F85" s="123">
        <f>IF(ESF!B6&gt;0,ESF!B6,ESF!B6*-1)</f>
        <v>959115.73</v>
      </c>
      <c r="G85" s="386">
        <f t="shared" si="8"/>
        <v>0</v>
      </c>
      <c r="H85" s="122" t="s">
        <v>273</v>
      </c>
      <c r="I85" s="373">
        <f>IF(EAA!B6&gt;0,EAA!B6,EAA!B6*-1)</f>
        <v>1131365.69</v>
      </c>
      <c r="J85" s="94" t="s">
        <v>272</v>
      </c>
      <c r="K85" s="373">
        <f>IF(ESF!C6&gt;0,ESF!C6,ESF!C6*-1)</f>
        <v>1131365.69</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12917813.619999999</v>
      </c>
      <c r="J86" s="94" t="s">
        <v>272</v>
      </c>
      <c r="K86" s="373">
        <f>IF(ESF!C7&gt;0,ESF!C7,ESF!C7*-1)</f>
        <v>12917813.619999999</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150230602.95999998</v>
      </c>
      <c r="E93" s="94" t="s">
        <v>272</v>
      </c>
      <c r="F93" s="123">
        <f>IF(ESF!B18&gt;0,ESF!B18,ESF!B18*-1)</f>
        <v>150230602.96000001</v>
      </c>
      <c r="G93" s="386">
        <f t="shared" si="8"/>
        <v>0</v>
      </c>
      <c r="H93" s="122" t="s">
        <v>273</v>
      </c>
      <c r="I93" s="373">
        <f>IF(EAA!B15&gt;0,EAA!B15,EAA!B15*-1)</f>
        <v>155125505.40000001</v>
      </c>
      <c r="J93" s="94" t="s">
        <v>272</v>
      </c>
      <c r="K93" s="373">
        <f>IF(ESF!C18&gt;0,ESF!C18,ESF!C18*-1)</f>
        <v>155125505.40000001</v>
      </c>
      <c r="L93" s="380">
        <f t="shared" si="7"/>
        <v>0</v>
      </c>
      <c r="M93" s="160" t="s">
        <v>182</v>
      </c>
    </row>
    <row r="94" spans="1:13" x14ac:dyDescent="0.2">
      <c r="A94" s="79"/>
      <c r="B94" s="168" t="s">
        <v>184</v>
      </c>
      <c r="C94" s="122" t="s">
        <v>273</v>
      </c>
      <c r="D94" s="367">
        <f>IF(EAA!E16&gt;0,EAA!E16,EAA!E16*-1)</f>
        <v>68577592.439999998</v>
      </c>
      <c r="E94" s="94" t="s">
        <v>272</v>
      </c>
      <c r="F94" s="123">
        <f>IF(ESF!B19&gt;0,ESF!B19,ESF!B19*-1)</f>
        <v>68577592.439999998</v>
      </c>
      <c r="G94" s="386">
        <f t="shared" si="8"/>
        <v>0</v>
      </c>
      <c r="H94" s="122" t="s">
        <v>273</v>
      </c>
      <c r="I94" s="373">
        <f>IF(EAA!B16&gt;0,EAA!B16,EAA!B16*-1)</f>
        <v>69862591.939999998</v>
      </c>
      <c r="J94" s="94" t="s">
        <v>272</v>
      </c>
      <c r="K94" s="373">
        <f>IF(ESF!C19&gt;0,ESF!C19,ESF!C19*-1)</f>
        <v>69862591.939999998</v>
      </c>
      <c r="L94" s="380">
        <f t="shared" si="7"/>
        <v>0</v>
      </c>
      <c r="M94" s="160" t="s">
        <v>184</v>
      </c>
    </row>
    <row r="95" spans="1:13" x14ac:dyDescent="0.2">
      <c r="A95" s="79"/>
      <c r="B95" s="168" t="s">
        <v>186</v>
      </c>
      <c r="C95" s="122" t="s">
        <v>273</v>
      </c>
      <c r="D95" s="367">
        <f>IF(EAA!E17&gt;0,EAA!E17,EAA!E17*-1)</f>
        <v>5635418.46</v>
      </c>
      <c r="E95" s="94" t="s">
        <v>272</v>
      </c>
      <c r="F95" s="123">
        <f>IF(ESF!B20&gt;0,ESF!B20,ESF!B20*-1)</f>
        <v>5635418.46</v>
      </c>
      <c r="G95" s="386">
        <f t="shared" si="8"/>
        <v>0</v>
      </c>
      <c r="H95" s="122" t="s">
        <v>273</v>
      </c>
      <c r="I95" s="373">
        <f>IF(EAA!B17&gt;0,EAA!B17,EAA!B17*-1)</f>
        <v>5642138.46</v>
      </c>
      <c r="J95" s="94" t="s">
        <v>272</v>
      </c>
      <c r="K95" s="373">
        <f>IF(ESF!C20&gt;0,ESF!C20,ESF!C20*-1)</f>
        <v>5642138.46</v>
      </c>
      <c r="L95" s="380">
        <f t="shared" si="7"/>
        <v>0</v>
      </c>
      <c r="M95" s="160" t="s">
        <v>186</v>
      </c>
    </row>
    <row r="96" spans="1:13" ht="22.5" x14ac:dyDescent="0.2">
      <c r="A96" s="79"/>
      <c r="B96" s="168" t="s">
        <v>188</v>
      </c>
      <c r="C96" s="122" t="s">
        <v>273</v>
      </c>
      <c r="D96" s="367">
        <f>IF(EAA!E18&gt;0,EAA!E18,EAA!E18*-1)</f>
        <v>76765321.200000003</v>
      </c>
      <c r="E96" s="94" t="s">
        <v>272</v>
      </c>
      <c r="F96" s="123">
        <f>IF(ESF!B21&gt;0,ESF!B21,ESF!B21*-1)</f>
        <v>76765321.200000003</v>
      </c>
      <c r="G96" s="386">
        <f t="shared" si="8"/>
        <v>0</v>
      </c>
      <c r="H96" s="122" t="s">
        <v>273</v>
      </c>
      <c r="I96" s="373">
        <f>IF(EAA!B18&gt;0,EAA!B18,EAA!B18*-1)</f>
        <v>76249267.260000005</v>
      </c>
      <c r="J96" s="94" t="s">
        <v>272</v>
      </c>
      <c r="K96" s="373">
        <f>IF(ESF!C21&gt;0,ESF!C21,ESF!C21*-1)</f>
        <v>76249267.260000005</v>
      </c>
      <c r="L96" s="380">
        <f t="shared" si="7"/>
        <v>0</v>
      </c>
      <c r="M96" s="160" t="s">
        <v>188</v>
      </c>
    </row>
    <row r="97" spans="1:13" x14ac:dyDescent="0.2">
      <c r="A97" s="79"/>
      <c r="B97" s="168" t="s">
        <v>190</v>
      </c>
      <c r="C97" s="122" t="s">
        <v>273</v>
      </c>
      <c r="D97" s="367">
        <f>IF(EAA!E19&gt;0,EAA!E19,EAA!E19*-1)</f>
        <v>745601.53</v>
      </c>
      <c r="E97" s="94" t="s">
        <v>272</v>
      </c>
      <c r="F97" s="123">
        <f>IF(ESF!B22&gt;0,ESF!B22,ESF!B22*-1)</f>
        <v>745601.53</v>
      </c>
      <c r="G97" s="386">
        <f t="shared" si="8"/>
        <v>0</v>
      </c>
      <c r="H97" s="122" t="s">
        <v>273</v>
      </c>
      <c r="I97" s="373">
        <f>IF(EAA!B19&gt;0,EAA!B19,EAA!B19*-1)</f>
        <v>745601.53</v>
      </c>
      <c r="J97" s="94" t="s">
        <v>272</v>
      </c>
      <c r="K97" s="373">
        <f>IF(ESF!C22&gt;0,ESF!C22,ESF!C22*-1)</f>
        <v>745601.53</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34320234.289999962</v>
      </c>
      <c r="E100" s="131" t="s">
        <v>288</v>
      </c>
      <c r="F100" s="133">
        <f>IF(CSF!$B5&gt;0,CSF!$B5,CSF!$C5)</f>
        <v>34320234.289999999</v>
      </c>
      <c r="G100" s="397">
        <f>ROUND(D100-F100,2)</f>
        <v>0</v>
      </c>
      <c r="H100" s="449"/>
      <c r="I100" s="450"/>
      <c r="J100" s="450"/>
      <c r="K100" s="134"/>
      <c r="L100" s="135"/>
      <c r="M100" s="162" t="s">
        <v>160</v>
      </c>
    </row>
    <row r="101" spans="1:13" x14ac:dyDescent="0.2">
      <c r="A101" s="67"/>
      <c r="B101" s="169" t="s">
        <v>162</v>
      </c>
      <c r="C101" s="122" t="s">
        <v>273</v>
      </c>
      <c r="D101" s="390">
        <f>IF(EAA!F6&gt;0,EAA!F6,EAA!F6*-1)</f>
        <v>172249.96000001067</v>
      </c>
      <c r="E101" s="94" t="s">
        <v>288</v>
      </c>
      <c r="F101" s="123">
        <f>IF(CSF!$B6&gt;0,CSF!$B6,CSF!$C6)</f>
        <v>172249.96</v>
      </c>
      <c r="G101" s="386">
        <f>ROUND(D101-F101,2)</f>
        <v>0</v>
      </c>
      <c r="H101" s="449"/>
      <c r="I101" s="450"/>
      <c r="J101" s="450"/>
      <c r="K101" s="134"/>
      <c r="L101" s="135"/>
      <c r="M101" s="162" t="s">
        <v>162</v>
      </c>
    </row>
    <row r="102" spans="1:13" x14ac:dyDescent="0.2">
      <c r="A102" s="67"/>
      <c r="B102" s="169" t="s">
        <v>164</v>
      </c>
      <c r="C102" s="122" t="s">
        <v>273</v>
      </c>
      <c r="D102" s="390">
        <f>IF(EAA!F7&gt;0,EAA!F7,EAA!F7*-1)</f>
        <v>12917813.619999999</v>
      </c>
      <c r="E102" s="94" t="s">
        <v>288</v>
      </c>
      <c r="F102" s="123">
        <f>IF(CSF!$B7&gt;0,CSF!$B7,CSF!$C7)</f>
        <v>12917813.619999999</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4894902.4400000274</v>
      </c>
      <c r="E109" s="94" t="s">
        <v>288</v>
      </c>
      <c r="F109" s="123">
        <f>IF(CSF!$B16&gt;0,CSF!$B16,CSF!$C16)</f>
        <v>4894902.4400000004</v>
      </c>
      <c r="G109" s="386">
        <f t="shared" si="9"/>
        <v>0</v>
      </c>
      <c r="H109" s="449"/>
      <c r="I109" s="450"/>
      <c r="J109" s="450"/>
      <c r="K109" s="134"/>
      <c r="L109" s="135"/>
      <c r="M109" s="162" t="s">
        <v>182</v>
      </c>
    </row>
    <row r="110" spans="1:13" x14ac:dyDescent="0.2">
      <c r="A110" s="67"/>
      <c r="B110" s="169" t="s">
        <v>184</v>
      </c>
      <c r="C110" s="122" t="s">
        <v>273</v>
      </c>
      <c r="D110" s="390">
        <f>IF(EAA!F16&gt;0,EAA!F16,EAA!F16*-1)</f>
        <v>1284999.5</v>
      </c>
      <c r="E110" s="94" t="s">
        <v>288</v>
      </c>
      <c r="F110" s="123">
        <f>IF(CSF!$B17&gt;0,CSF!$B17,CSF!$C17)</f>
        <v>1284999.5</v>
      </c>
      <c r="G110" s="386">
        <f t="shared" si="9"/>
        <v>0</v>
      </c>
      <c r="H110" s="449"/>
      <c r="I110" s="450"/>
      <c r="J110" s="450"/>
      <c r="K110" s="134"/>
      <c r="L110" s="135"/>
      <c r="M110" s="162" t="s">
        <v>184</v>
      </c>
    </row>
    <row r="111" spans="1:13" x14ac:dyDescent="0.2">
      <c r="A111" s="67"/>
      <c r="B111" s="169" t="s">
        <v>186</v>
      </c>
      <c r="C111" s="122" t="s">
        <v>273</v>
      </c>
      <c r="D111" s="390">
        <f>IF(EAA!F17&gt;0,EAA!F17,EAA!F17*-1)</f>
        <v>6720</v>
      </c>
      <c r="E111" s="94" t="s">
        <v>288</v>
      </c>
      <c r="F111" s="123">
        <f>IF(CSF!$B18&gt;0,CSF!$B18,CSF!$C18)</f>
        <v>6720</v>
      </c>
      <c r="G111" s="386">
        <f t="shared" si="9"/>
        <v>0</v>
      </c>
      <c r="H111" s="449"/>
      <c r="I111" s="450"/>
      <c r="J111" s="450"/>
      <c r="K111" s="134"/>
      <c r="L111" s="135"/>
      <c r="M111" s="162" t="s">
        <v>186</v>
      </c>
    </row>
    <row r="112" spans="1:13" ht="22.5" x14ac:dyDescent="0.2">
      <c r="A112" s="67"/>
      <c r="B112" s="169" t="s">
        <v>188</v>
      </c>
      <c r="C112" s="122" t="s">
        <v>273</v>
      </c>
      <c r="D112" s="390">
        <f>IF(EAA!F18&gt;0,EAA!F18,EAA!F18*-1)</f>
        <v>516053.93999999762</v>
      </c>
      <c r="E112" s="94" t="s">
        <v>288</v>
      </c>
      <c r="F112" s="123">
        <f>IF(CSF!$B19&gt;0,CSF!$B19,CSF!$C19)</f>
        <v>516053.94</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16365234.08</v>
      </c>
      <c r="E116" s="91" t="s">
        <v>272</v>
      </c>
      <c r="F116" s="359">
        <f>IF(ESF!E26&gt;0,ESF!E26,ESF!E26*-1)</f>
        <v>16365234.08</v>
      </c>
      <c r="G116" s="384">
        <f>ROUND(D116-F116,2)</f>
        <v>0</v>
      </c>
      <c r="H116" s="90" t="s">
        <v>287</v>
      </c>
      <c r="I116" s="370">
        <f>IF(ADP!D34&gt;0,ADP!D34,ADP!D34*-1)</f>
        <v>17933098.289999999</v>
      </c>
      <c r="J116" s="91" t="s">
        <v>272</v>
      </c>
      <c r="K116" s="370">
        <f>IF(ESF!F26&gt;0,ESF!F26,ESF!F26*-1)</f>
        <v>17933098.289999999</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H32" sqref="H32"/>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722</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5" customHeight="1" x14ac:dyDescent="0.2">
      <c r="A5" s="344" t="s">
        <v>623</v>
      </c>
      <c r="B5" s="345"/>
      <c r="C5" s="346">
        <f>C6+C7</f>
        <v>298657678.38999999</v>
      </c>
      <c r="D5" s="346">
        <f>D6+D7</f>
        <v>103105067.84999999</v>
      </c>
      <c r="E5" s="346">
        <f>E6+E7</f>
        <v>103083737.84999999</v>
      </c>
    </row>
    <row r="6" spans="1:5" ht="12.95" customHeight="1" x14ac:dyDescent="0.2">
      <c r="A6" s="347"/>
      <c r="B6" s="348" t="s">
        <v>624</v>
      </c>
      <c r="C6" s="349"/>
      <c r="D6" s="349"/>
      <c r="E6" s="349"/>
    </row>
    <row r="7" spans="1:5" ht="12.95" customHeight="1" x14ac:dyDescent="0.2">
      <c r="A7" s="347"/>
      <c r="B7" s="348" t="s">
        <v>625</v>
      </c>
      <c r="C7" s="349">
        <v>298657678.38999999</v>
      </c>
      <c r="D7" s="349">
        <v>103105067.84999999</v>
      </c>
      <c r="E7" s="349">
        <v>103083737.84999999</v>
      </c>
    </row>
    <row r="8" spans="1:5" x14ac:dyDescent="0.2">
      <c r="A8" s="347"/>
      <c r="B8" s="350"/>
      <c r="C8" s="349"/>
      <c r="D8" s="349"/>
      <c r="E8" s="349"/>
    </row>
    <row r="9" spans="1:5" ht="12.95" customHeight="1" x14ac:dyDescent="0.2">
      <c r="A9" s="344" t="s">
        <v>626</v>
      </c>
      <c r="B9" s="345"/>
      <c r="C9" s="346">
        <f>C10+C11</f>
        <v>298657678.38999999</v>
      </c>
      <c r="D9" s="346">
        <f>D10+D11</f>
        <v>81002520.25</v>
      </c>
      <c r="E9" s="346">
        <f>E10+E11</f>
        <v>79782494.780000001</v>
      </c>
    </row>
    <row r="10" spans="1:5" ht="12.95" customHeight="1" x14ac:dyDescent="0.2">
      <c r="A10" s="347"/>
      <c r="B10" s="348" t="s">
        <v>627</v>
      </c>
      <c r="C10" s="349"/>
      <c r="D10" s="349"/>
      <c r="E10" s="349"/>
    </row>
    <row r="11" spans="1:5" ht="12.95" customHeight="1" x14ac:dyDescent="0.2">
      <c r="A11" s="347"/>
      <c r="B11" s="348" t="s">
        <v>628</v>
      </c>
      <c r="C11" s="349">
        <v>298657678.38999999</v>
      </c>
      <c r="D11" s="349">
        <v>81002520.25</v>
      </c>
      <c r="E11" s="349">
        <v>79782494.780000001</v>
      </c>
    </row>
    <row r="12" spans="1:5" x14ac:dyDescent="0.2">
      <c r="A12" s="347"/>
      <c r="B12" s="350"/>
      <c r="C12" s="349"/>
      <c r="D12" s="349"/>
      <c r="E12" s="349"/>
    </row>
    <row r="13" spans="1:5" ht="12.95" customHeight="1" x14ac:dyDescent="0.2">
      <c r="A13" s="344" t="s">
        <v>629</v>
      </c>
      <c r="B13" s="345"/>
      <c r="C13" s="346">
        <f>C5-C9</f>
        <v>0</v>
      </c>
      <c r="D13" s="346">
        <f>D5-D9</f>
        <v>22102547.599999994</v>
      </c>
      <c r="E13" s="346">
        <f>E5-E9</f>
        <v>23301243.069999993</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5" customHeight="1" x14ac:dyDescent="0.2">
      <c r="A17" s="344" t="s">
        <v>630</v>
      </c>
      <c r="B17" s="345"/>
      <c r="C17" s="346">
        <f>C13</f>
        <v>0</v>
      </c>
      <c r="D17" s="346">
        <f>D13</f>
        <v>22102547.599999994</v>
      </c>
      <c r="E17" s="346">
        <f>E13</f>
        <v>23301243.069999993</v>
      </c>
    </row>
    <row r="18" spans="1:5" x14ac:dyDescent="0.2">
      <c r="A18" s="347"/>
      <c r="B18" s="348"/>
      <c r="C18" s="346"/>
      <c r="D18" s="346"/>
      <c r="E18" s="346"/>
    </row>
    <row r="19" spans="1:5" ht="12.95" customHeight="1" x14ac:dyDescent="0.2">
      <c r="A19" s="344" t="s">
        <v>631</v>
      </c>
      <c r="B19" s="345"/>
      <c r="C19" s="349">
        <v>0</v>
      </c>
      <c r="D19" s="349">
        <v>0</v>
      </c>
      <c r="E19" s="349">
        <v>0</v>
      </c>
    </row>
    <row r="20" spans="1:5" x14ac:dyDescent="0.2">
      <c r="A20" s="347"/>
      <c r="B20" s="348"/>
      <c r="C20" s="349"/>
      <c r="D20" s="349"/>
      <c r="E20" s="349"/>
    </row>
    <row r="21" spans="1:5" ht="12.95" customHeight="1" x14ac:dyDescent="0.2">
      <c r="A21" s="344" t="s">
        <v>632</v>
      </c>
      <c r="B21" s="345"/>
      <c r="C21" s="346">
        <f>C17+C19</f>
        <v>0</v>
      </c>
      <c r="D21" s="346">
        <f>D17+D19</f>
        <v>22102547.599999994</v>
      </c>
      <c r="E21" s="346">
        <f>E17+E19</f>
        <v>23301243.069999993</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5" customHeight="1" x14ac:dyDescent="0.2">
      <c r="A25" s="344" t="s">
        <v>633</v>
      </c>
      <c r="B25" s="345"/>
      <c r="C25" s="349"/>
      <c r="D25" s="349"/>
      <c r="E25" s="349"/>
    </row>
    <row r="26" spans="1:5" x14ac:dyDescent="0.2">
      <c r="A26" s="347"/>
      <c r="B26" s="348"/>
      <c r="C26" s="349"/>
      <c r="D26" s="349"/>
      <c r="E26" s="349"/>
    </row>
    <row r="27" spans="1:5" ht="12.95" customHeight="1" x14ac:dyDescent="0.2">
      <c r="A27" s="344" t="s">
        <v>634</v>
      </c>
      <c r="B27" s="345"/>
      <c r="C27" s="349"/>
      <c r="D27" s="349"/>
      <c r="E27" s="349"/>
    </row>
    <row r="28" spans="1:5" x14ac:dyDescent="0.2">
      <c r="A28" s="347"/>
      <c r="B28" s="348"/>
      <c r="C28" s="349"/>
      <c r="D28" s="349"/>
      <c r="E28" s="349"/>
    </row>
    <row r="29" spans="1:5" ht="12.95"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opLeftCell="A37"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679</v>
      </c>
      <c r="B1" s="435"/>
      <c r="C1" s="435"/>
      <c r="D1" s="435"/>
      <c r="E1" s="435"/>
      <c r="F1" s="435"/>
      <c r="G1" s="435"/>
      <c r="H1" s="199" t="s">
        <v>0</v>
      </c>
      <c r="I1" s="356">
        <v>2026</v>
      </c>
    </row>
    <row r="2" spans="1:12" ht="14.65" customHeight="1" x14ac:dyDescent="0.2">
      <c r="A2" s="435" t="s">
        <v>636</v>
      </c>
      <c r="B2" s="435"/>
      <c r="C2" s="435"/>
      <c r="D2" s="435"/>
      <c r="E2" s="435"/>
      <c r="F2" s="435"/>
      <c r="G2" s="435"/>
      <c r="H2" s="200" t="s">
        <v>2</v>
      </c>
      <c r="I2" s="201" t="s">
        <v>3</v>
      </c>
    </row>
    <row r="3" spans="1:12" ht="14.65" customHeight="1" x14ac:dyDescent="0.2">
      <c r="A3" s="435" t="s">
        <v>680</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298657678.38999999</v>
      </c>
      <c r="F7" s="207" t="s">
        <v>328</v>
      </c>
      <c r="G7" s="207" t="s">
        <v>329</v>
      </c>
      <c r="H7" s="208">
        <f>+Memoria!C41</f>
        <v>298657678.38999999</v>
      </c>
      <c r="I7" s="209">
        <f>ROUND(E7-H7,2)</f>
        <v>0</v>
      </c>
    </row>
    <row r="8" spans="1:12" ht="22.5" x14ac:dyDescent="0.2">
      <c r="A8" s="210" t="s">
        <v>293</v>
      </c>
      <c r="B8" s="5" t="s">
        <v>330</v>
      </c>
      <c r="C8" s="211" t="s">
        <v>326</v>
      </c>
      <c r="D8" s="211" t="s">
        <v>331</v>
      </c>
      <c r="E8" s="212">
        <f>+EAI!C15</f>
        <v>21683730.150000002</v>
      </c>
      <c r="F8" s="211" t="s">
        <v>328</v>
      </c>
      <c r="G8" s="211" t="s">
        <v>332</v>
      </c>
      <c r="H8" s="212">
        <f>+Memoria!C43</f>
        <v>21683730.149999999</v>
      </c>
      <c r="I8" s="213">
        <f>ROUND(E8-H8,2)</f>
        <v>0</v>
      </c>
    </row>
    <row r="9" spans="1:12" x14ac:dyDescent="0.2">
      <c r="A9" s="210" t="s">
        <v>295</v>
      </c>
      <c r="B9" s="5" t="s">
        <v>333</v>
      </c>
      <c r="C9" s="211" t="s">
        <v>326</v>
      </c>
      <c r="D9" s="211" t="s">
        <v>334</v>
      </c>
      <c r="E9" s="212">
        <f>+EAI!E15</f>
        <v>103105067.84999999</v>
      </c>
      <c r="F9" s="211" t="s">
        <v>328</v>
      </c>
      <c r="G9" s="211" t="s">
        <v>335</v>
      </c>
      <c r="H9" s="212">
        <f>+Memoria!C44+Memoria!C45</f>
        <v>-103105067.84999999</v>
      </c>
      <c r="I9" s="213">
        <f>ROUND(E9+H9,2)</f>
        <v>0</v>
      </c>
    </row>
    <row r="10" spans="1:12" ht="12" thickBot="1" x14ac:dyDescent="0.25">
      <c r="A10" s="210" t="s">
        <v>297</v>
      </c>
      <c r="B10" s="5" t="s">
        <v>336</v>
      </c>
      <c r="C10" s="211" t="s">
        <v>326</v>
      </c>
      <c r="D10" s="211" t="s">
        <v>337</v>
      </c>
      <c r="E10" s="212">
        <f>+EAI!F15</f>
        <v>103083737.84999999</v>
      </c>
      <c r="F10" s="211" t="s">
        <v>328</v>
      </c>
      <c r="G10" s="211" t="s">
        <v>338</v>
      </c>
      <c r="H10" s="212">
        <f>+Memoria!C45</f>
        <v>-103083737.84999999</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+CA!B41</f>
        <v>298657678.38999993</v>
      </c>
      <c r="F12" s="211" t="s">
        <v>328</v>
      </c>
      <c r="G12" s="211" t="s">
        <v>342</v>
      </c>
      <c r="H12" s="212">
        <f>+Memoria!C50</f>
        <v>-298657678.38999999</v>
      </c>
      <c r="I12" s="213">
        <f>+ROUND(E12+H12,2)</f>
        <v>0</v>
      </c>
      <c r="L12" s="467"/>
    </row>
    <row r="13" spans="1:12" ht="22.5" x14ac:dyDescent="0.2">
      <c r="A13" s="210" t="s">
        <v>302</v>
      </c>
      <c r="B13" s="5" t="s">
        <v>343</v>
      </c>
      <c r="C13" s="211" t="s">
        <v>340</v>
      </c>
      <c r="D13" s="211" t="s">
        <v>331</v>
      </c>
      <c r="E13" s="212">
        <f>+CA!C41</f>
        <v>46722752.899999999</v>
      </c>
      <c r="F13" s="211" t="s">
        <v>328</v>
      </c>
      <c r="G13" s="211" t="s">
        <v>344</v>
      </c>
      <c r="H13" s="212">
        <f>+Memoria!C52</f>
        <v>-46722752.899999999</v>
      </c>
      <c r="I13" s="213">
        <f>+ROUND(E13+H13,2)</f>
        <v>0</v>
      </c>
    </row>
    <row r="14" spans="1:12" x14ac:dyDescent="0.2">
      <c r="A14" s="210" t="s">
        <v>304</v>
      </c>
      <c r="B14" s="5" t="s">
        <v>345</v>
      </c>
      <c r="C14" s="211" t="s">
        <v>340</v>
      </c>
      <c r="D14" s="211" t="s">
        <v>334</v>
      </c>
      <c r="E14" s="212">
        <f>+CA!E41</f>
        <v>81002520.25</v>
      </c>
      <c r="F14" s="211" t="s">
        <v>328</v>
      </c>
      <c r="G14" s="211" t="s">
        <v>638</v>
      </c>
      <c r="H14" s="212">
        <f>+Memoria!C54+Memoria!C55+Memoria!C56</f>
        <v>80979065.25</v>
      </c>
      <c r="I14" s="213">
        <f>ROUND(E14-H14,2)</f>
        <v>23455</v>
      </c>
    </row>
    <row r="15" spans="1:12" x14ac:dyDescent="0.2">
      <c r="A15" s="210" t="s">
        <v>306</v>
      </c>
      <c r="B15" s="5" t="s">
        <v>346</v>
      </c>
      <c r="C15" s="211" t="s">
        <v>340</v>
      </c>
      <c r="D15" s="211" t="s">
        <v>347</v>
      </c>
      <c r="E15" s="212">
        <f>+CA!F41</f>
        <v>79782494.780000016</v>
      </c>
      <c r="F15" s="211" t="s">
        <v>328</v>
      </c>
      <c r="G15" s="211">
        <v>8.25</v>
      </c>
      <c r="H15" s="212">
        <f>+Memoria!C56</f>
        <v>79782494.780000001</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298657678.39000005</v>
      </c>
      <c r="F17" s="211" t="s">
        <v>328</v>
      </c>
      <c r="G17" s="211" t="s">
        <v>342</v>
      </c>
      <c r="H17" s="212">
        <f>+Memoria!C50</f>
        <v>-298657678.38999999</v>
      </c>
      <c r="I17" s="213">
        <f>+ROUND(E17+H17,2)</f>
        <v>0</v>
      </c>
    </row>
    <row r="18" spans="1:9" ht="22.5" x14ac:dyDescent="0.2">
      <c r="A18" s="210" t="s">
        <v>302</v>
      </c>
      <c r="B18" s="5" t="s">
        <v>350</v>
      </c>
      <c r="C18" s="211" t="s">
        <v>349</v>
      </c>
      <c r="D18" s="211" t="s">
        <v>331</v>
      </c>
      <c r="E18" s="212">
        <f>+CTG!C15</f>
        <v>46722752.899999999</v>
      </c>
      <c r="F18" s="211" t="s">
        <v>328</v>
      </c>
      <c r="G18" s="211" t="s">
        <v>344</v>
      </c>
      <c r="H18" s="212">
        <f>+Memoria!C52</f>
        <v>-46722752.899999999</v>
      </c>
      <c r="I18" s="213">
        <f>+ROUND(E18+H18,2)</f>
        <v>0</v>
      </c>
    </row>
    <row r="19" spans="1:9" x14ac:dyDescent="0.2">
      <c r="A19" s="210" t="s">
        <v>304</v>
      </c>
      <c r="B19" s="5" t="s">
        <v>351</v>
      </c>
      <c r="C19" s="211" t="s">
        <v>349</v>
      </c>
      <c r="D19" s="211" t="s">
        <v>334</v>
      </c>
      <c r="E19" s="212">
        <f>+CTG!E15</f>
        <v>81002520.25</v>
      </c>
      <c r="F19" s="211" t="s">
        <v>328</v>
      </c>
      <c r="G19" s="211" t="s">
        <v>638</v>
      </c>
      <c r="H19" s="212">
        <f>+Memoria!C54+Memoria!C55+Memoria!C56</f>
        <v>80979065.25</v>
      </c>
      <c r="I19" s="213">
        <f>+ROUND(E19-H19,2)</f>
        <v>23455</v>
      </c>
    </row>
    <row r="20" spans="1:9" x14ac:dyDescent="0.2">
      <c r="A20" s="210" t="s">
        <v>306</v>
      </c>
      <c r="B20" s="5" t="s">
        <v>352</v>
      </c>
      <c r="C20" s="211" t="s">
        <v>349</v>
      </c>
      <c r="D20" s="211" t="s">
        <v>347</v>
      </c>
      <c r="E20" s="212">
        <f>+CTG!F15</f>
        <v>79782494.780000001</v>
      </c>
      <c r="F20" s="211" t="s">
        <v>328</v>
      </c>
      <c r="G20" s="211">
        <v>8.25</v>
      </c>
      <c r="H20" s="212">
        <f>+Memoria!C56</f>
        <v>79782494.780000001</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298657678.38999999</v>
      </c>
      <c r="F22" s="211" t="s">
        <v>328</v>
      </c>
      <c r="G22" s="211" t="s">
        <v>342</v>
      </c>
      <c r="H22" s="212">
        <f>+Memoria!C50</f>
        <v>-298657678.38999999</v>
      </c>
      <c r="I22" s="213">
        <f>+ROUND(E22+H22,2)</f>
        <v>0</v>
      </c>
    </row>
    <row r="23" spans="1:9" ht="22.5" x14ac:dyDescent="0.2">
      <c r="A23" s="210" t="s">
        <v>302</v>
      </c>
      <c r="B23" s="5" t="s">
        <v>355</v>
      </c>
      <c r="C23" s="211" t="s">
        <v>354</v>
      </c>
      <c r="D23" s="211" t="s">
        <v>331</v>
      </c>
      <c r="E23" s="212">
        <f>+COG!C76</f>
        <v>46722752.899999999</v>
      </c>
      <c r="F23" s="211" t="s">
        <v>328</v>
      </c>
      <c r="G23" s="211" t="s">
        <v>344</v>
      </c>
      <c r="H23" s="212">
        <f>+Memoria!C52</f>
        <v>-46722752.899999999</v>
      </c>
      <c r="I23" s="213">
        <f>+ROUND(E23+H23,2)</f>
        <v>0</v>
      </c>
    </row>
    <row r="24" spans="1:9" x14ac:dyDescent="0.2">
      <c r="A24" s="210" t="s">
        <v>304</v>
      </c>
      <c r="B24" s="5" t="s">
        <v>356</v>
      </c>
      <c r="C24" s="211" t="s">
        <v>354</v>
      </c>
      <c r="D24" s="211" t="s">
        <v>334</v>
      </c>
      <c r="E24" s="212">
        <f>+COG!E76</f>
        <v>81002520.25</v>
      </c>
      <c r="F24" s="211" t="s">
        <v>328</v>
      </c>
      <c r="G24" s="211" t="s">
        <v>638</v>
      </c>
      <c r="H24" s="212">
        <f>+Memoria!C54+Memoria!C55+Memoria!C56</f>
        <v>80979065.25</v>
      </c>
      <c r="I24" s="213">
        <f>+ROUND(E24-H24,2)</f>
        <v>23455</v>
      </c>
    </row>
    <row r="25" spans="1:9" x14ac:dyDescent="0.2">
      <c r="A25" s="210" t="s">
        <v>306</v>
      </c>
      <c r="B25" s="5" t="s">
        <v>357</v>
      </c>
      <c r="C25" s="211" t="s">
        <v>354</v>
      </c>
      <c r="D25" s="211" t="s">
        <v>347</v>
      </c>
      <c r="E25" s="212">
        <f>+COG!F76</f>
        <v>79782494.780000001</v>
      </c>
      <c r="F25" s="211" t="s">
        <v>328</v>
      </c>
      <c r="G25" s="211">
        <v>8.25</v>
      </c>
      <c r="H25" s="212">
        <f>+Memoria!C56</f>
        <v>79782494.780000001</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298657678.39000005</v>
      </c>
      <c r="F27" s="211" t="s">
        <v>328</v>
      </c>
      <c r="G27" s="211" t="s">
        <v>342</v>
      </c>
      <c r="H27" s="212">
        <f>+Memoria!C50</f>
        <v>-298657678.38999999</v>
      </c>
      <c r="I27" s="213">
        <f>+ROUND(E27+H27,2)</f>
        <v>0</v>
      </c>
    </row>
    <row r="28" spans="1:9" ht="22.5" x14ac:dyDescent="0.2">
      <c r="A28" s="210" t="s">
        <v>302</v>
      </c>
      <c r="B28" s="5" t="s">
        <v>360</v>
      </c>
      <c r="C28" s="211" t="s">
        <v>359</v>
      </c>
      <c r="D28" s="211" t="s">
        <v>331</v>
      </c>
      <c r="E28" s="212">
        <f>+CFG!C41</f>
        <v>46722752.899999999</v>
      </c>
      <c r="F28" s="211" t="s">
        <v>328</v>
      </c>
      <c r="G28" s="211" t="s">
        <v>344</v>
      </c>
      <c r="H28" s="212">
        <f>+Memoria!C52</f>
        <v>-46722752.899999999</v>
      </c>
      <c r="I28" s="213">
        <f>+ROUND(E28+H28,2)</f>
        <v>0</v>
      </c>
    </row>
    <row r="29" spans="1:9" x14ac:dyDescent="0.2">
      <c r="A29" s="210" t="s">
        <v>304</v>
      </c>
      <c r="B29" s="5" t="s">
        <v>361</v>
      </c>
      <c r="C29" s="211" t="s">
        <v>359</v>
      </c>
      <c r="D29" s="211" t="s">
        <v>334</v>
      </c>
      <c r="E29" s="212">
        <f>+CFG!E41</f>
        <v>81002520.25</v>
      </c>
      <c r="F29" s="211" t="s">
        <v>328</v>
      </c>
      <c r="G29" s="211" t="s">
        <v>638</v>
      </c>
      <c r="H29" s="212">
        <f>+Memoria!C54+Memoria!C55+Memoria!C56</f>
        <v>80979065.25</v>
      </c>
      <c r="I29" s="213">
        <f>+ROUND(E29-H29,2)</f>
        <v>23455</v>
      </c>
    </row>
    <row r="30" spans="1:9" x14ac:dyDescent="0.2">
      <c r="A30" s="210" t="s">
        <v>306</v>
      </c>
      <c r="B30" s="5" t="s">
        <v>362</v>
      </c>
      <c r="C30" s="211" t="s">
        <v>359</v>
      </c>
      <c r="D30" s="211" t="s">
        <v>347</v>
      </c>
      <c r="E30" s="212">
        <f>+CFG!F41</f>
        <v>79782494.780000001</v>
      </c>
      <c r="F30" s="211" t="s">
        <v>328</v>
      </c>
      <c r="G30" s="211">
        <v>8.25</v>
      </c>
      <c r="H30" s="212">
        <f>+Memoria!C56</f>
        <v>79782494.780000001</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298657678.38999999</v>
      </c>
      <c r="F39" s="211" t="s">
        <v>328</v>
      </c>
      <c r="G39" s="211" t="s">
        <v>342</v>
      </c>
      <c r="H39" s="212">
        <f>+Memoria!C50</f>
        <v>-298657678.38999999</v>
      </c>
      <c r="I39" s="213">
        <f>+ROUND(E39+H39,2)</f>
        <v>0</v>
      </c>
    </row>
    <row r="40" spans="1:9" ht="22.5" x14ac:dyDescent="0.2">
      <c r="A40" s="210" t="s">
        <v>315</v>
      </c>
      <c r="B40" s="65" t="s">
        <v>380</v>
      </c>
      <c r="C40" s="211" t="s">
        <v>379</v>
      </c>
      <c r="D40" s="211" t="s">
        <v>331</v>
      </c>
      <c r="E40" s="212">
        <f>+GCP!C37</f>
        <v>46722752.899999999</v>
      </c>
      <c r="F40" s="211" t="s">
        <v>328</v>
      </c>
      <c r="G40" s="211" t="s">
        <v>344</v>
      </c>
      <c r="H40" s="212">
        <f>+Memoria!C52</f>
        <v>-46722752.899999999</v>
      </c>
      <c r="I40" s="213">
        <f>+ROUND(E40+H40,2)</f>
        <v>0</v>
      </c>
    </row>
    <row r="41" spans="1:9" x14ac:dyDescent="0.2">
      <c r="A41" s="210" t="s">
        <v>316</v>
      </c>
      <c r="B41" s="65" t="s">
        <v>381</v>
      </c>
      <c r="C41" s="211" t="s">
        <v>379</v>
      </c>
      <c r="D41" s="211" t="s">
        <v>334</v>
      </c>
      <c r="E41" s="212">
        <f>+GCP!E37</f>
        <v>81002520.25</v>
      </c>
      <c r="F41" s="211" t="s">
        <v>328</v>
      </c>
      <c r="G41" s="211" t="s">
        <v>638</v>
      </c>
      <c r="H41" s="212">
        <f>+Memoria!C54+Memoria!C55+Memoria!C56</f>
        <v>80979065.25</v>
      </c>
      <c r="I41" s="213">
        <f t="shared" ref="I41:I42" si="0">ROUND(E41-H41,2)</f>
        <v>23455</v>
      </c>
    </row>
    <row r="42" spans="1:9" x14ac:dyDescent="0.2">
      <c r="A42" s="210" t="s">
        <v>317</v>
      </c>
      <c r="B42" s="65" t="s">
        <v>382</v>
      </c>
      <c r="C42" s="211" t="s">
        <v>379</v>
      </c>
      <c r="D42" s="211" t="s">
        <v>347</v>
      </c>
      <c r="E42" s="212">
        <f>+GCP!F37</f>
        <v>79782494.779999986</v>
      </c>
      <c r="F42" s="211" t="s">
        <v>328</v>
      </c>
      <c r="G42" s="211">
        <v>8.25</v>
      </c>
      <c r="H42" s="212">
        <f>+Memoria!C56</f>
        <v>79782494.780000001</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298657678.38999999</v>
      </c>
      <c r="F44" s="211" t="s">
        <v>340</v>
      </c>
      <c r="G44" s="211" t="s">
        <v>341</v>
      </c>
      <c r="H44" s="212">
        <f>+CA!B41</f>
        <v>298657678.38999993</v>
      </c>
      <c r="I44" s="213">
        <f>+ROUND(E44-H44,2)</f>
        <v>0</v>
      </c>
    </row>
    <row r="45" spans="1:9" ht="22.5" x14ac:dyDescent="0.2">
      <c r="A45" s="210" t="s">
        <v>315</v>
      </c>
      <c r="B45" s="65" t="s">
        <v>384</v>
      </c>
      <c r="C45" s="211" t="s">
        <v>379</v>
      </c>
      <c r="D45" s="211" t="s">
        <v>331</v>
      </c>
      <c r="E45" s="212">
        <f>+GCP!C37</f>
        <v>46722752.899999999</v>
      </c>
      <c r="F45" s="211" t="s">
        <v>340</v>
      </c>
      <c r="G45" s="211" t="s">
        <v>331</v>
      </c>
      <c r="H45" s="212">
        <f>+CA!C41</f>
        <v>46722752.899999999</v>
      </c>
      <c r="I45" s="213">
        <f>+ROUND(E45-H45,2)</f>
        <v>0</v>
      </c>
    </row>
    <row r="46" spans="1:9" x14ac:dyDescent="0.2">
      <c r="A46" s="210" t="s">
        <v>316</v>
      </c>
      <c r="B46" s="65" t="s">
        <v>385</v>
      </c>
      <c r="C46" s="211" t="s">
        <v>379</v>
      </c>
      <c r="D46" s="211" t="s">
        <v>334</v>
      </c>
      <c r="E46" s="212">
        <f>+GCP!E37</f>
        <v>81002520.25</v>
      </c>
      <c r="F46" s="211" t="s">
        <v>340</v>
      </c>
      <c r="G46" s="211" t="s">
        <v>334</v>
      </c>
      <c r="H46" s="212">
        <f>+CA!E41</f>
        <v>81002520.25</v>
      </c>
      <c r="I46" s="213">
        <f>ROUND(E46-H46,2)</f>
        <v>0</v>
      </c>
    </row>
    <row r="47" spans="1:9" x14ac:dyDescent="0.2">
      <c r="A47" s="210" t="s">
        <v>317</v>
      </c>
      <c r="B47" s="65" t="s">
        <v>386</v>
      </c>
      <c r="C47" s="211" t="s">
        <v>379</v>
      </c>
      <c r="D47" s="211" t="s">
        <v>347</v>
      </c>
      <c r="E47" s="212">
        <f>+GCP!F37</f>
        <v>79782494.779999986</v>
      </c>
      <c r="F47" s="211" t="s">
        <v>340</v>
      </c>
      <c r="G47" s="211" t="s">
        <v>347</v>
      </c>
      <c r="H47" s="212">
        <f>+CA!F41</f>
        <v>79782494.780000016</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298657678.38999999</v>
      </c>
      <c r="F49" s="211" t="s">
        <v>349</v>
      </c>
      <c r="G49" s="211" t="s">
        <v>341</v>
      </c>
      <c r="H49" s="212">
        <f>+CTG!B15</f>
        <v>298657678.39000005</v>
      </c>
      <c r="I49" s="213">
        <f>+ROUND(E49-H49,2)</f>
        <v>0</v>
      </c>
    </row>
    <row r="50" spans="1:9" ht="22.5" x14ac:dyDescent="0.2">
      <c r="A50" s="210" t="s">
        <v>315</v>
      </c>
      <c r="B50" s="65" t="s">
        <v>388</v>
      </c>
      <c r="C50" s="211" t="s">
        <v>379</v>
      </c>
      <c r="D50" s="211" t="s">
        <v>331</v>
      </c>
      <c r="E50" s="212">
        <f>+GCP!C37</f>
        <v>46722752.899999999</v>
      </c>
      <c r="F50" s="211" t="s">
        <v>349</v>
      </c>
      <c r="G50" s="211" t="s">
        <v>331</v>
      </c>
      <c r="H50" s="212">
        <f>+CTG!C15</f>
        <v>46722752.899999999</v>
      </c>
      <c r="I50" s="213">
        <f>+ROUND(E50-H50,2)</f>
        <v>0</v>
      </c>
    </row>
    <row r="51" spans="1:9" x14ac:dyDescent="0.2">
      <c r="A51" s="210" t="s">
        <v>316</v>
      </c>
      <c r="B51" s="65" t="s">
        <v>389</v>
      </c>
      <c r="C51" s="211" t="s">
        <v>379</v>
      </c>
      <c r="D51" s="211" t="s">
        <v>334</v>
      </c>
      <c r="E51" s="212">
        <f>+GCP!E37</f>
        <v>81002520.25</v>
      </c>
      <c r="F51" s="211" t="s">
        <v>349</v>
      </c>
      <c r="G51" s="211" t="s">
        <v>334</v>
      </c>
      <c r="H51" s="212">
        <f>+CTG!E15</f>
        <v>81002520.25</v>
      </c>
      <c r="I51" s="213">
        <f>ROUND(E51-H51,2)</f>
        <v>0</v>
      </c>
    </row>
    <row r="52" spans="1:9" x14ac:dyDescent="0.2">
      <c r="A52" s="210" t="s">
        <v>317</v>
      </c>
      <c r="B52" s="65" t="s">
        <v>390</v>
      </c>
      <c r="C52" s="211" t="s">
        <v>379</v>
      </c>
      <c r="D52" s="211" t="s">
        <v>347</v>
      </c>
      <c r="E52" s="212">
        <f>+GCP!F37</f>
        <v>79782494.779999986</v>
      </c>
      <c r="F52" s="211" t="s">
        <v>349</v>
      </c>
      <c r="G52" s="211" t="s">
        <v>347</v>
      </c>
      <c r="H52" s="212">
        <f>+CTG!F15</f>
        <v>79782494.780000001</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298657678.38999999</v>
      </c>
      <c r="F54" s="211" t="s">
        <v>354</v>
      </c>
      <c r="G54" s="211" t="s">
        <v>341</v>
      </c>
      <c r="H54" s="212">
        <f>+COG!B76</f>
        <v>298657678.38999999</v>
      </c>
      <c r="I54" s="213">
        <f>+ROUND(E54-H54,2)</f>
        <v>0</v>
      </c>
    </row>
    <row r="55" spans="1:9" ht="22.5" x14ac:dyDescent="0.2">
      <c r="A55" s="210" t="s">
        <v>315</v>
      </c>
      <c r="B55" s="65" t="s">
        <v>392</v>
      </c>
      <c r="C55" s="211" t="s">
        <v>379</v>
      </c>
      <c r="D55" s="211" t="s">
        <v>331</v>
      </c>
      <c r="E55" s="212">
        <f>+GCP!C37</f>
        <v>46722752.899999999</v>
      </c>
      <c r="F55" s="211" t="s">
        <v>354</v>
      </c>
      <c r="G55" s="211" t="s">
        <v>331</v>
      </c>
      <c r="H55" s="212">
        <f>+COG!C76</f>
        <v>46722752.899999999</v>
      </c>
      <c r="I55" s="213">
        <f>+ROUND(E55-H55,2)</f>
        <v>0</v>
      </c>
    </row>
    <row r="56" spans="1:9" x14ac:dyDescent="0.2">
      <c r="A56" s="210" t="s">
        <v>316</v>
      </c>
      <c r="B56" s="65" t="s">
        <v>393</v>
      </c>
      <c r="C56" s="211" t="s">
        <v>379</v>
      </c>
      <c r="D56" s="211" t="s">
        <v>334</v>
      </c>
      <c r="E56" s="212">
        <f>+GCP!E37</f>
        <v>81002520.25</v>
      </c>
      <c r="F56" s="211" t="s">
        <v>354</v>
      </c>
      <c r="G56" s="211" t="s">
        <v>334</v>
      </c>
      <c r="H56" s="212">
        <f>+CTG!E15</f>
        <v>81002520.25</v>
      </c>
      <c r="I56" s="213">
        <f>ROUND(E56-H56,2)</f>
        <v>0</v>
      </c>
    </row>
    <row r="57" spans="1:9" x14ac:dyDescent="0.2">
      <c r="A57" s="210" t="s">
        <v>317</v>
      </c>
      <c r="B57" s="65" t="s">
        <v>394</v>
      </c>
      <c r="C57" s="211" t="s">
        <v>379</v>
      </c>
      <c r="D57" s="211" t="s">
        <v>347</v>
      </c>
      <c r="E57" s="212">
        <f>+GCP!F37</f>
        <v>79782494.779999986</v>
      </c>
      <c r="F57" s="211" t="s">
        <v>354</v>
      </c>
      <c r="G57" s="211" t="s">
        <v>347</v>
      </c>
      <c r="H57" s="212">
        <f>+COG!F76</f>
        <v>79782494.780000001</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298657678.38999999</v>
      </c>
      <c r="F59" s="211" t="s">
        <v>359</v>
      </c>
      <c r="G59" s="211" t="s">
        <v>341</v>
      </c>
      <c r="H59" s="212">
        <f>+CFG!B41</f>
        <v>298657678.39000005</v>
      </c>
      <c r="I59" s="213">
        <f>+ROUND(E59-H59,2)</f>
        <v>0</v>
      </c>
    </row>
    <row r="60" spans="1:9" ht="22.5" x14ac:dyDescent="0.2">
      <c r="A60" s="210" t="s">
        <v>315</v>
      </c>
      <c r="B60" s="65" t="s">
        <v>396</v>
      </c>
      <c r="C60" s="211" t="s">
        <v>379</v>
      </c>
      <c r="D60" s="211" t="s">
        <v>331</v>
      </c>
      <c r="E60" s="212">
        <f>+GCP!C37</f>
        <v>46722752.899999999</v>
      </c>
      <c r="F60" s="211" t="s">
        <v>359</v>
      </c>
      <c r="G60" s="211" t="s">
        <v>331</v>
      </c>
      <c r="H60" s="212">
        <f>+CFG!C41</f>
        <v>46722752.899999999</v>
      </c>
      <c r="I60" s="213">
        <f>+ROUND(E60-H60,2)</f>
        <v>0</v>
      </c>
    </row>
    <row r="61" spans="1:9" x14ac:dyDescent="0.2">
      <c r="A61" s="210" t="s">
        <v>316</v>
      </c>
      <c r="B61" s="65" t="s">
        <v>397</v>
      </c>
      <c r="C61" s="211" t="s">
        <v>379</v>
      </c>
      <c r="D61" s="211" t="s">
        <v>334</v>
      </c>
      <c r="E61" s="212">
        <f>+GCP!E37</f>
        <v>81002520.25</v>
      </c>
      <c r="F61" s="211" t="s">
        <v>359</v>
      </c>
      <c r="G61" s="211" t="s">
        <v>334</v>
      </c>
      <c r="H61" s="212">
        <f>+CFG!E41</f>
        <v>81002520.25</v>
      </c>
      <c r="I61" s="213">
        <f>ROUND(E61-H61,2)</f>
        <v>0</v>
      </c>
    </row>
    <row r="62" spans="1:9" x14ac:dyDescent="0.2">
      <c r="A62" s="214" t="s">
        <v>317</v>
      </c>
      <c r="B62" s="215" t="s">
        <v>398</v>
      </c>
      <c r="C62" s="216" t="s">
        <v>379</v>
      </c>
      <c r="D62" s="216" t="s">
        <v>347</v>
      </c>
      <c r="E62" s="217">
        <f>+GCP!F37</f>
        <v>79782494.779999986</v>
      </c>
      <c r="F62" s="216" t="s">
        <v>359</v>
      </c>
      <c r="G62" s="216" t="s">
        <v>347</v>
      </c>
      <c r="H62" s="217">
        <f>+CFG!F41</f>
        <v>79782494.780000001</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opLeftCell="A4"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664</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35204548.490000002</v>
      </c>
      <c r="C4" s="420">
        <f>SUM(C5:C11)</f>
        <v>65153176.420000002</v>
      </c>
      <c r="D4" s="12"/>
    </row>
    <row r="5" spans="1:4" x14ac:dyDescent="0.2">
      <c r="A5" s="14" t="s">
        <v>104</v>
      </c>
      <c r="B5" s="422">
        <v>26250837.890000001</v>
      </c>
      <c r="C5" s="422">
        <v>29825349.309999999</v>
      </c>
      <c r="D5" s="15">
        <v>4110</v>
      </c>
    </row>
    <row r="6" spans="1:4" x14ac:dyDescent="0.2">
      <c r="A6" s="14" t="s">
        <v>105</v>
      </c>
      <c r="B6" s="422">
        <v>0</v>
      </c>
      <c r="C6" s="422">
        <v>0</v>
      </c>
      <c r="D6" s="15">
        <v>4120</v>
      </c>
    </row>
    <row r="7" spans="1:4" x14ac:dyDescent="0.2">
      <c r="A7" s="14" t="s">
        <v>106</v>
      </c>
      <c r="B7" s="422">
        <v>364630.25</v>
      </c>
      <c r="C7" s="422">
        <v>1554909.73</v>
      </c>
      <c r="D7" s="15">
        <v>4130</v>
      </c>
    </row>
    <row r="8" spans="1:4" x14ac:dyDescent="0.2">
      <c r="A8" s="14" t="s">
        <v>107</v>
      </c>
      <c r="B8" s="422">
        <v>6965844.21</v>
      </c>
      <c r="C8" s="422">
        <v>25764575.68</v>
      </c>
      <c r="D8" s="15">
        <v>4140</v>
      </c>
    </row>
    <row r="9" spans="1:4" x14ac:dyDescent="0.2">
      <c r="A9" s="424" t="s">
        <v>108</v>
      </c>
      <c r="B9" s="422">
        <v>844317.57</v>
      </c>
      <c r="C9" s="422">
        <v>4137126.28</v>
      </c>
      <c r="D9" s="15">
        <v>4150</v>
      </c>
    </row>
    <row r="10" spans="1:4" x14ac:dyDescent="0.2">
      <c r="A10" s="14" t="s">
        <v>109</v>
      </c>
      <c r="B10" s="422">
        <v>778918.57</v>
      </c>
      <c r="C10" s="422">
        <v>3871215.42</v>
      </c>
      <c r="D10" s="15">
        <v>4160</v>
      </c>
    </row>
    <row r="11" spans="1:4" ht="11.25" customHeight="1" x14ac:dyDescent="0.2">
      <c r="A11" s="14" t="s">
        <v>110</v>
      </c>
      <c r="B11" s="422">
        <v>0</v>
      </c>
      <c r="C11" s="422">
        <v>0</v>
      </c>
      <c r="D11" s="15">
        <v>4170</v>
      </c>
    </row>
    <row r="12" spans="1:4" ht="11.25" customHeight="1" x14ac:dyDescent="0.25">
      <c r="A12" s="14"/>
      <c r="B12" s="423"/>
      <c r="C12" s="423"/>
      <c r="D12" s="12"/>
    </row>
    <row r="13" spans="1:4" ht="33.75" x14ac:dyDescent="0.25">
      <c r="A13" s="13" t="s">
        <v>111</v>
      </c>
      <c r="B13" s="420">
        <f>SUM(B14:B15)</f>
        <v>68953211.810000002</v>
      </c>
      <c r="C13" s="420">
        <f>SUM(C14:C15)</f>
        <v>264478122.84</v>
      </c>
      <c r="D13" s="12"/>
    </row>
    <row r="14" spans="1:4" ht="22.5" x14ac:dyDescent="0.2">
      <c r="A14" s="14" t="s">
        <v>112</v>
      </c>
      <c r="B14" s="422">
        <v>67430066.180000007</v>
      </c>
      <c r="C14" s="422">
        <v>242473458.74000001</v>
      </c>
      <c r="D14" s="15">
        <v>4210</v>
      </c>
    </row>
    <row r="15" spans="1:4" ht="11.25" customHeight="1" x14ac:dyDescent="0.2">
      <c r="A15" s="14" t="s">
        <v>113</v>
      </c>
      <c r="B15" s="422">
        <v>1523145.63</v>
      </c>
      <c r="C15" s="422">
        <v>22004664.100000001</v>
      </c>
      <c r="D15" s="15">
        <v>4220</v>
      </c>
    </row>
    <row r="16" spans="1:4" ht="11.25" customHeight="1" x14ac:dyDescent="0.25">
      <c r="A16" s="14"/>
      <c r="B16" s="423"/>
      <c r="C16" s="423"/>
      <c r="D16" s="12"/>
    </row>
    <row r="17" spans="1:5" ht="11.25" customHeight="1" x14ac:dyDescent="0.25">
      <c r="A17" s="13" t="s">
        <v>114</v>
      </c>
      <c r="B17" s="420">
        <f>SUM(B18:B22)</f>
        <v>0</v>
      </c>
      <c r="C17" s="420">
        <f>SUM(C18:C22)</f>
        <v>0</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0</v>
      </c>
      <c r="C22" s="422">
        <v>0</v>
      </c>
      <c r="D22" s="15">
        <v>4390</v>
      </c>
    </row>
    <row r="23" spans="1:5" ht="11.25" customHeight="1" x14ac:dyDescent="0.25">
      <c r="A23" s="16"/>
      <c r="B23" s="423"/>
      <c r="C23" s="423"/>
      <c r="D23" s="12"/>
    </row>
    <row r="24" spans="1:5" ht="11.25" customHeight="1" x14ac:dyDescent="0.25">
      <c r="A24" s="10" t="s">
        <v>120</v>
      </c>
      <c r="B24" s="420">
        <f>SUM(B4+B13+B17)</f>
        <v>104157760.30000001</v>
      </c>
      <c r="C24" s="421">
        <f>SUM(C4+C13+C17)</f>
        <v>329631299.25999999</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45953135.599999994</v>
      </c>
      <c r="C27" s="420">
        <f>SUM(C28:C30)</f>
        <v>209920498.53</v>
      </c>
      <c r="D27" s="12"/>
    </row>
    <row r="28" spans="1:5" ht="11.25" customHeight="1" x14ac:dyDescent="0.2">
      <c r="A28" s="14" t="s">
        <v>123</v>
      </c>
      <c r="B28" s="422">
        <v>25898739.5</v>
      </c>
      <c r="C28" s="422">
        <v>118297318.95</v>
      </c>
      <c r="D28" s="15">
        <v>5110</v>
      </c>
    </row>
    <row r="29" spans="1:5" ht="11.25" customHeight="1" x14ac:dyDescent="0.2">
      <c r="A29" s="14" t="s">
        <v>124</v>
      </c>
      <c r="B29" s="422">
        <v>2889489.45</v>
      </c>
      <c r="C29" s="422">
        <v>23979049.68</v>
      </c>
      <c r="D29" s="15">
        <v>5120</v>
      </c>
    </row>
    <row r="30" spans="1:5" ht="11.25" customHeight="1" x14ac:dyDescent="0.2">
      <c r="A30" s="14" t="s">
        <v>125</v>
      </c>
      <c r="B30" s="422">
        <v>17164906.649999999</v>
      </c>
      <c r="C30" s="422">
        <v>67644129.900000006</v>
      </c>
      <c r="D30" s="15">
        <v>5130</v>
      </c>
    </row>
    <row r="31" spans="1:5" ht="11.25" customHeight="1" x14ac:dyDescent="0.25">
      <c r="A31" s="14"/>
      <c r="B31" s="423"/>
      <c r="C31" s="423"/>
      <c r="D31" s="12"/>
    </row>
    <row r="32" spans="1:5" ht="11.25" customHeight="1" x14ac:dyDescent="0.25">
      <c r="A32" s="13" t="s">
        <v>126</v>
      </c>
      <c r="B32" s="420">
        <f>SUM(B33:B41)</f>
        <v>9614623.540000001</v>
      </c>
      <c r="C32" s="420">
        <f>SUM(C33:C41)</f>
        <v>41386361.049999997</v>
      </c>
      <c r="D32" s="12"/>
    </row>
    <row r="33" spans="1:4" ht="11.25" customHeight="1" x14ac:dyDescent="0.2">
      <c r="A33" s="14" t="s">
        <v>127</v>
      </c>
      <c r="B33" s="422">
        <v>4986051.13</v>
      </c>
      <c r="C33" s="422">
        <v>21437576.190000001</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3037595.85</v>
      </c>
      <c r="C36" s="422">
        <v>13988555.060000001</v>
      </c>
      <c r="D36" s="15">
        <v>5240</v>
      </c>
    </row>
    <row r="37" spans="1:4" ht="11.25" customHeight="1" x14ac:dyDescent="0.2">
      <c r="A37" s="14" t="s">
        <v>131</v>
      </c>
      <c r="B37" s="422">
        <v>1590976.56</v>
      </c>
      <c r="C37" s="422">
        <v>5960229.7999999998</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235529</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235529</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1988343.44</v>
      </c>
      <c r="C55" s="420">
        <f>SUM(C56:C59)</f>
        <v>5656310.21</v>
      </c>
      <c r="D55" s="12"/>
    </row>
    <row r="56" spans="1:5" ht="11.25" customHeight="1" x14ac:dyDescent="0.2">
      <c r="A56" s="14" t="s">
        <v>147</v>
      </c>
      <c r="B56" s="422">
        <v>1988343.44</v>
      </c>
      <c r="C56" s="422">
        <v>5656310.21</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19836314.25</v>
      </c>
      <c r="C61" s="420">
        <f>SUM(C62)</f>
        <v>33174411.699999999</v>
      </c>
      <c r="D61" s="12"/>
    </row>
    <row r="62" spans="1:5" ht="11.25" customHeight="1" x14ac:dyDescent="0.2">
      <c r="A62" s="14" t="s">
        <v>152</v>
      </c>
      <c r="B62" s="422">
        <v>19836314.25</v>
      </c>
      <c r="C62" s="422">
        <v>33174411.699999999</v>
      </c>
      <c r="D62" s="15">
        <v>5610</v>
      </c>
    </row>
    <row r="63" spans="1:5" ht="11.25" customHeight="1" x14ac:dyDescent="0.25">
      <c r="A63" s="16"/>
      <c r="B63" s="423"/>
      <c r="C63" s="423"/>
      <c r="D63" s="12"/>
    </row>
    <row r="64" spans="1:5" ht="11.25" customHeight="1" x14ac:dyDescent="0.25">
      <c r="A64" s="10" t="s">
        <v>153</v>
      </c>
      <c r="B64" s="420">
        <f>B61+B55+B48+B43+B32+B27</f>
        <v>77392416.829999998</v>
      </c>
      <c r="C64" s="421">
        <f>C61+C55+C48+C43+C32+C27</f>
        <v>290373110.49000001</v>
      </c>
      <c r="D64" s="12"/>
      <c r="E64" s="12"/>
    </row>
    <row r="65" spans="1:8" ht="11.25" customHeight="1" x14ac:dyDescent="0.25">
      <c r="A65" s="17"/>
      <c r="B65" s="423"/>
      <c r="C65" s="423"/>
      <c r="D65" s="12"/>
      <c r="E65" s="12"/>
    </row>
    <row r="66" spans="1:8" s="12" customFormat="1" x14ac:dyDescent="0.25">
      <c r="A66" s="10" t="s">
        <v>659</v>
      </c>
      <c r="B66" s="420">
        <f>B24-B64</f>
        <v>26765343.470000014</v>
      </c>
      <c r="C66" s="420">
        <f>C24-C64</f>
        <v>39258188.769999981</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665</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97763947.230000004</v>
      </c>
      <c r="C5" s="414">
        <v>63443712.939999998</v>
      </c>
      <c r="D5" s="14" t="s">
        <v>161</v>
      </c>
      <c r="E5" s="414">
        <v>16365238.189999999</v>
      </c>
      <c r="F5" s="417">
        <v>17933102.399999999</v>
      </c>
    </row>
    <row r="6" spans="1:6" x14ac:dyDescent="0.25">
      <c r="A6" s="14" t="s">
        <v>162</v>
      </c>
      <c r="B6" s="414">
        <v>959115.73</v>
      </c>
      <c r="C6" s="414">
        <v>1131365.69</v>
      </c>
      <c r="D6" s="14" t="s">
        <v>163</v>
      </c>
      <c r="E6" s="414">
        <v>0</v>
      </c>
      <c r="F6" s="417">
        <v>0</v>
      </c>
    </row>
    <row r="7" spans="1:6" x14ac:dyDescent="0.25">
      <c r="A7" s="14" t="s">
        <v>164</v>
      </c>
      <c r="B7" s="414">
        <v>0</v>
      </c>
      <c r="C7" s="414">
        <v>12917813.619999999</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-4.1100000000000003</v>
      </c>
      <c r="F12" s="417">
        <v>-4.1100000000000003</v>
      </c>
    </row>
    <row r="13" spans="1:6" x14ac:dyDescent="0.25">
      <c r="A13" s="13" t="s">
        <v>175</v>
      </c>
      <c r="B13" s="416">
        <f>SUM(B5:B11)</f>
        <v>98723062.960000008</v>
      </c>
      <c r="C13" s="416">
        <f>SUM(C5:C11)</f>
        <v>77492892.25</v>
      </c>
      <c r="D13" s="16"/>
      <c r="E13" s="418"/>
      <c r="F13" s="419"/>
    </row>
    <row r="14" spans="1:6" x14ac:dyDescent="0.25">
      <c r="A14" s="17"/>
      <c r="B14" s="415"/>
      <c r="C14" s="415"/>
      <c r="D14" s="13" t="s">
        <v>176</v>
      </c>
      <c r="E14" s="420">
        <f>SUM(E5:E12)</f>
        <v>16365234.08</v>
      </c>
      <c r="F14" s="421">
        <f>SUM(F5:F12)</f>
        <v>17933098.289999999</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150230602.96000001</v>
      </c>
      <c r="C18" s="414">
        <v>155125505.40000001</v>
      </c>
      <c r="D18" s="14" t="s">
        <v>183</v>
      </c>
      <c r="E18" s="414">
        <v>0</v>
      </c>
      <c r="F18" s="417">
        <v>0</v>
      </c>
    </row>
    <row r="19" spans="1:6" x14ac:dyDescent="0.25">
      <c r="A19" s="14" t="s">
        <v>184</v>
      </c>
      <c r="B19" s="414">
        <v>68577592.439999998</v>
      </c>
      <c r="C19" s="414">
        <v>69862591.939999998</v>
      </c>
      <c r="D19" s="14" t="s">
        <v>185</v>
      </c>
      <c r="E19" s="414">
        <v>0</v>
      </c>
      <c r="F19" s="417">
        <v>0</v>
      </c>
    </row>
    <row r="20" spans="1:6" x14ac:dyDescent="0.25">
      <c r="A20" s="14" t="s">
        <v>186</v>
      </c>
      <c r="B20" s="414">
        <v>5635418.46</v>
      </c>
      <c r="C20" s="414">
        <v>5642138.46</v>
      </c>
      <c r="D20" s="14" t="s">
        <v>187</v>
      </c>
      <c r="E20" s="414">
        <v>0</v>
      </c>
      <c r="F20" s="417">
        <v>0</v>
      </c>
    </row>
    <row r="21" spans="1:6" ht="22.5" x14ac:dyDescent="0.25">
      <c r="A21" s="14" t="s">
        <v>188</v>
      </c>
      <c r="B21" s="414">
        <v>-76765321.200000003</v>
      </c>
      <c r="C21" s="414">
        <v>-76249267.260000005</v>
      </c>
      <c r="D21" s="14" t="s">
        <v>189</v>
      </c>
      <c r="E21" s="414">
        <v>0</v>
      </c>
      <c r="F21" s="417">
        <v>0</v>
      </c>
    </row>
    <row r="22" spans="1:6" x14ac:dyDescent="0.25">
      <c r="A22" s="14" t="s">
        <v>190</v>
      </c>
      <c r="B22" s="414">
        <v>745601.53</v>
      </c>
      <c r="C22" s="414">
        <v>745601.53</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148423894.19000003</v>
      </c>
      <c r="C26" s="416">
        <f>SUM(C16:C24)</f>
        <v>155126570.07000002</v>
      </c>
      <c r="D26" s="24" t="s">
        <v>196</v>
      </c>
      <c r="E26" s="416">
        <f>SUM(E24+E14)</f>
        <v>16365234.08</v>
      </c>
      <c r="F26" s="421">
        <f>SUM(F14+F24)</f>
        <v>17933098.289999999</v>
      </c>
    </row>
    <row r="27" spans="1:6" x14ac:dyDescent="0.25">
      <c r="A27" s="17"/>
      <c r="B27" s="415"/>
      <c r="C27" s="415"/>
      <c r="D27" s="17"/>
      <c r="E27" s="415"/>
      <c r="F27" s="419"/>
    </row>
    <row r="28" spans="1:6" x14ac:dyDescent="0.25">
      <c r="A28" s="13" t="s">
        <v>197</v>
      </c>
      <c r="B28" s="416">
        <f>B13+B26</f>
        <v>247146957.15000004</v>
      </c>
      <c r="C28" s="416">
        <f>C13+C26</f>
        <v>232619462.32000002</v>
      </c>
      <c r="D28" s="10" t="s">
        <v>198</v>
      </c>
      <c r="E28" s="415"/>
      <c r="F28" s="415"/>
    </row>
    <row r="29" spans="1:6" x14ac:dyDescent="0.25">
      <c r="A29" s="25"/>
      <c r="B29" s="26"/>
      <c r="C29" s="23"/>
      <c r="D29" s="17"/>
      <c r="E29" s="415"/>
      <c r="F29" s="415"/>
    </row>
    <row r="30" spans="1:6" x14ac:dyDescent="0.25">
      <c r="A30" s="25"/>
      <c r="B30" s="26"/>
      <c r="C30" s="23"/>
      <c r="D30" s="13" t="s">
        <v>199</v>
      </c>
      <c r="E30" s="416">
        <f>SUM(E31:E33)</f>
        <v>96911468.189999998</v>
      </c>
      <c r="F30" s="421">
        <f>SUM(F31:F33)</f>
        <v>96911468.189999998</v>
      </c>
    </row>
    <row r="31" spans="1:6" x14ac:dyDescent="0.25">
      <c r="A31" s="25"/>
      <c r="B31" s="26"/>
      <c r="C31" s="23"/>
      <c r="D31" s="14" t="s">
        <v>138</v>
      </c>
      <c r="E31" s="414">
        <v>82188557.620000005</v>
      </c>
      <c r="F31" s="417">
        <v>82188557.620000005</v>
      </c>
    </row>
    <row r="32" spans="1:6" x14ac:dyDescent="0.25">
      <c r="A32" s="25"/>
      <c r="B32" s="26"/>
      <c r="C32" s="23"/>
      <c r="D32" s="14" t="s">
        <v>200</v>
      </c>
      <c r="E32" s="414">
        <v>14722910.57</v>
      </c>
      <c r="F32" s="417">
        <v>14722910.57</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133870254.88</v>
      </c>
      <c r="F35" s="421">
        <f>SUM(F36:F40)</f>
        <v>117774895.84</v>
      </c>
    </row>
    <row r="36" spans="1:6" x14ac:dyDescent="0.25">
      <c r="A36" s="25"/>
      <c r="B36" s="26"/>
      <c r="C36" s="23"/>
      <c r="D36" s="14" t="s">
        <v>660</v>
      </c>
      <c r="E36" s="414">
        <v>26765343.469999999</v>
      </c>
      <c r="F36" s="417">
        <v>39258188.770000003</v>
      </c>
    </row>
    <row r="37" spans="1:6" x14ac:dyDescent="0.25">
      <c r="A37" s="25"/>
      <c r="B37" s="26"/>
      <c r="C37" s="23"/>
      <c r="D37" s="14" t="s">
        <v>204</v>
      </c>
      <c r="E37" s="414">
        <v>108115911.41</v>
      </c>
      <c r="F37" s="417">
        <v>79527707.069999993</v>
      </c>
    </row>
    <row r="38" spans="1:6" x14ac:dyDescent="0.25">
      <c r="A38" s="25"/>
      <c r="B38" s="26"/>
      <c r="C38" s="23"/>
      <c r="D38" s="14" t="s">
        <v>205</v>
      </c>
      <c r="E38" s="414">
        <v>-1011000</v>
      </c>
      <c r="F38" s="417">
        <v>-1011000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230781723.06999999</v>
      </c>
      <c r="F46" s="421">
        <f>SUM(F42+F35+F30)</f>
        <v>214686364.03</v>
      </c>
    </row>
    <row r="47" spans="1:6" x14ac:dyDescent="0.25">
      <c r="A47" s="25"/>
      <c r="B47" s="26"/>
      <c r="C47" s="23"/>
      <c r="D47" s="17"/>
      <c r="E47" s="415"/>
      <c r="F47" s="419"/>
    </row>
    <row r="48" spans="1:6" x14ac:dyDescent="0.25">
      <c r="A48" s="25"/>
      <c r="B48" s="26"/>
      <c r="C48" s="23"/>
      <c r="D48" s="13" t="s">
        <v>212</v>
      </c>
      <c r="E48" s="416">
        <f>E46+E26</f>
        <v>247146957.15000001</v>
      </c>
      <c r="F48" s="416">
        <f>F46+F26</f>
        <v>232619462.31999999</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6"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674</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666</v>
      </c>
      <c r="B4" s="409">
        <f>SUM(B5:B7)</f>
        <v>96911468.189999998</v>
      </c>
      <c r="C4" s="410"/>
      <c r="D4" s="410"/>
      <c r="E4" s="410"/>
      <c r="F4" s="409">
        <f>SUM(B4:E4)</f>
        <v>96911468.189999998</v>
      </c>
    </row>
    <row r="5" spans="1:6" ht="11.25" customHeight="1" x14ac:dyDescent="0.2">
      <c r="A5" s="35" t="s">
        <v>138</v>
      </c>
      <c r="B5" s="411">
        <v>82188557.620000005</v>
      </c>
      <c r="C5" s="410"/>
      <c r="D5" s="410"/>
      <c r="E5" s="410"/>
      <c r="F5" s="409">
        <f>SUM(B5:E5)</f>
        <v>82188557.620000005</v>
      </c>
    </row>
    <row r="6" spans="1:6" ht="11.25" customHeight="1" x14ac:dyDescent="0.2">
      <c r="A6" s="35" t="s">
        <v>200</v>
      </c>
      <c r="B6" s="411">
        <v>14722910.57</v>
      </c>
      <c r="C6" s="410"/>
      <c r="D6" s="410"/>
      <c r="E6" s="410"/>
      <c r="F6" s="409">
        <f>SUM(B6:E6)</f>
        <v>14722910.57</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667</v>
      </c>
      <c r="B9" s="410"/>
      <c r="C9" s="409">
        <f>SUM(C10:C14)</f>
        <v>78516707.069999993</v>
      </c>
      <c r="D9" s="409">
        <f>D10</f>
        <v>39258188.770000003</v>
      </c>
      <c r="E9" s="410"/>
      <c r="F9" s="409">
        <f t="shared" ref="F9:F14" si="0">SUM(B9:E9)</f>
        <v>117774895.84</v>
      </c>
    </row>
    <row r="10" spans="1:6" ht="11.25" customHeight="1" x14ac:dyDescent="0.2">
      <c r="A10" s="35" t="s">
        <v>659</v>
      </c>
      <c r="B10" s="410"/>
      <c r="C10" s="410"/>
      <c r="D10" s="411">
        <v>39258188.770000003</v>
      </c>
      <c r="E10" s="410"/>
      <c r="F10" s="409">
        <f t="shared" si="0"/>
        <v>39258188.770000003</v>
      </c>
    </row>
    <row r="11" spans="1:6" ht="11.25" customHeight="1" x14ac:dyDescent="0.2">
      <c r="A11" s="35" t="s">
        <v>204</v>
      </c>
      <c r="B11" s="410"/>
      <c r="C11" s="411">
        <v>79527707.069999993</v>
      </c>
      <c r="D11" s="410"/>
      <c r="E11" s="410"/>
      <c r="F11" s="409">
        <f t="shared" si="0"/>
        <v>79527707.069999993</v>
      </c>
    </row>
    <row r="12" spans="1:6" ht="11.25" customHeight="1" x14ac:dyDescent="0.2">
      <c r="A12" s="35" t="s">
        <v>205</v>
      </c>
      <c r="B12" s="410"/>
      <c r="C12" s="411">
        <v>-1011000</v>
      </c>
      <c r="D12" s="410"/>
      <c r="E12" s="410"/>
      <c r="F12" s="409">
        <f t="shared" si="0"/>
        <v>-1011000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669</v>
      </c>
      <c r="B20" s="409">
        <f>B4</f>
        <v>96911468.189999998</v>
      </c>
      <c r="C20" s="409">
        <f>C9</f>
        <v>78516707.069999993</v>
      </c>
      <c r="D20" s="409">
        <f>D9</f>
        <v>39258188.770000003</v>
      </c>
      <c r="E20" s="409">
        <f>E16</f>
        <v>0</v>
      </c>
      <c r="F20" s="409">
        <f>SUM(B20:E20)</f>
        <v>214686364.03</v>
      </c>
    </row>
    <row r="21" spans="1:6" ht="11.25" customHeight="1" x14ac:dyDescent="0.25">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671</v>
      </c>
      <c r="B27" s="410"/>
      <c r="C27" s="409">
        <f>C29</f>
        <v>28588204.34</v>
      </c>
      <c r="D27" s="409">
        <f>SUM(D28:D32)</f>
        <v>-12492845.300000004</v>
      </c>
      <c r="E27" s="410"/>
      <c r="F27" s="409">
        <f t="shared" ref="F27:F32" si="1">SUM(B27:E27)</f>
        <v>16095359.039999995</v>
      </c>
    </row>
    <row r="28" spans="1:6" ht="11.25" customHeight="1" x14ac:dyDescent="0.2">
      <c r="A28" s="35" t="s">
        <v>659</v>
      </c>
      <c r="B28" s="410"/>
      <c r="C28" s="410"/>
      <c r="D28" s="411">
        <v>26765343.469999999</v>
      </c>
      <c r="E28" s="410"/>
      <c r="F28" s="409">
        <f t="shared" si="1"/>
        <v>26765343.469999999</v>
      </c>
    </row>
    <row r="29" spans="1:6" ht="11.25" customHeight="1" x14ac:dyDescent="0.2">
      <c r="A29" s="35" t="s">
        <v>204</v>
      </c>
      <c r="B29" s="410"/>
      <c r="C29" s="411">
        <v>28588204.34</v>
      </c>
      <c r="D29" s="411">
        <v>-39258188.770000003</v>
      </c>
      <c r="E29" s="410"/>
      <c r="F29" s="409">
        <f t="shared" si="1"/>
        <v>-10669984.430000003</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673</v>
      </c>
      <c r="B38" s="413">
        <f>B20+B22</f>
        <v>96911468.189999998</v>
      </c>
      <c r="C38" s="413">
        <f>+C20+C27</f>
        <v>107104911.41</v>
      </c>
      <c r="D38" s="413">
        <f>D20+D27</f>
        <v>26765343.469999999</v>
      </c>
      <c r="E38" s="413">
        <f>+E20+E34</f>
        <v>0</v>
      </c>
      <c r="F38" s="413">
        <f>SUM(B38:E38)</f>
        <v>230781723.06999999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19"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675</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19792739.460000001</v>
      </c>
      <c r="C3" s="407">
        <f>C4+C13</f>
        <v>34320234.289999999</v>
      </c>
    </row>
    <row r="4" spans="1:3" ht="11.25" customHeight="1" x14ac:dyDescent="0.25">
      <c r="A4" s="43" t="s">
        <v>158</v>
      </c>
      <c r="B4" s="407">
        <f>SUM(B5:B11)</f>
        <v>13090063.58</v>
      </c>
      <c r="C4" s="407">
        <f>SUM(C5:C11)</f>
        <v>34320234.289999999</v>
      </c>
    </row>
    <row r="5" spans="1:3" ht="11.25" customHeight="1" x14ac:dyDescent="0.25">
      <c r="A5" s="44" t="s">
        <v>160</v>
      </c>
      <c r="B5" s="408">
        <v>0</v>
      </c>
      <c r="C5" s="408">
        <v>34320234.289999999</v>
      </c>
    </row>
    <row r="6" spans="1:3" ht="11.25" customHeight="1" x14ac:dyDescent="0.25">
      <c r="A6" s="44" t="s">
        <v>162</v>
      </c>
      <c r="B6" s="408">
        <v>172249.96</v>
      </c>
      <c r="C6" s="408">
        <v>0</v>
      </c>
    </row>
    <row r="7" spans="1:3" ht="11.25" customHeight="1" x14ac:dyDescent="0.25">
      <c r="A7" s="44" t="s">
        <v>164</v>
      </c>
      <c r="B7" s="408">
        <v>12917813.619999999</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6702675.8800000008</v>
      </c>
      <c r="C13" s="407">
        <f>SUM(C14:C22)</f>
        <v>0</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4894902.4400000004</v>
      </c>
      <c r="C16" s="408">
        <v>0</v>
      </c>
    </row>
    <row r="17" spans="1:3" ht="11.25" customHeight="1" x14ac:dyDescent="0.25">
      <c r="A17" s="44" t="s">
        <v>184</v>
      </c>
      <c r="B17" s="408">
        <v>1284999.5</v>
      </c>
      <c r="C17" s="408">
        <v>0</v>
      </c>
    </row>
    <row r="18" spans="1:3" ht="11.25" customHeight="1" x14ac:dyDescent="0.25">
      <c r="A18" s="44" t="s">
        <v>186</v>
      </c>
      <c r="B18" s="408">
        <v>6720</v>
      </c>
      <c r="C18" s="408">
        <v>0</v>
      </c>
    </row>
    <row r="19" spans="1:3" ht="11.25" customHeight="1" x14ac:dyDescent="0.25">
      <c r="A19" s="44" t="s">
        <v>188</v>
      </c>
      <c r="B19" s="408">
        <v>516053.94</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1567864.21</v>
      </c>
    </row>
    <row r="25" spans="1:3" ht="11.25" customHeight="1" x14ac:dyDescent="0.25">
      <c r="A25" s="43" t="s">
        <v>159</v>
      </c>
      <c r="B25" s="407">
        <f>SUM(B26:B33)</f>
        <v>0</v>
      </c>
      <c r="C25" s="407">
        <f>SUM(C26:C33)</f>
        <v>1567864.21</v>
      </c>
    </row>
    <row r="26" spans="1:3" ht="11.25" customHeight="1" x14ac:dyDescent="0.25">
      <c r="A26" s="44" t="s">
        <v>161</v>
      </c>
      <c r="B26" s="408">
        <v>0</v>
      </c>
      <c r="C26" s="408">
        <v>1567864.21</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28588204.34</v>
      </c>
      <c r="C43" s="407">
        <f>C45+C50+C57</f>
        <v>12492845.300000001</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28588204.34</v>
      </c>
      <c r="C50" s="407">
        <f>SUM(C51:C55)</f>
        <v>12492845.300000001</v>
      </c>
    </row>
    <row r="51" spans="1:3" ht="11.25" customHeight="1" x14ac:dyDescent="0.25">
      <c r="A51" s="44" t="s">
        <v>660</v>
      </c>
      <c r="B51" s="408">
        <v>0</v>
      </c>
      <c r="C51" s="408">
        <v>12492845.300000001</v>
      </c>
    </row>
    <row r="52" spans="1:3" ht="11.25" customHeight="1" x14ac:dyDescent="0.25">
      <c r="A52" s="44" t="s">
        <v>204</v>
      </c>
      <c r="B52" s="408">
        <v>28588204.34</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22"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676</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103083737.84999999</v>
      </c>
      <c r="C4" s="401">
        <f>SUM(C5:C14)</f>
        <v>329543631.98000002</v>
      </c>
      <c r="D4" s="49" t="s">
        <v>221</v>
      </c>
    </row>
    <row r="5" spans="1:22" ht="11.25" customHeight="1" x14ac:dyDescent="0.2">
      <c r="A5" s="44" t="s">
        <v>104</v>
      </c>
      <c r="B5" s="402">
        <v>26250837.829999998</v>
      </c>
      <c r="C5" s="402">
        <v>29825349.260000002</v>
      </c>
      <c r="D5" s="50">
        <v>100000</v>
      </c>
    </row>
    <row r="6" spans="1:22" ht="11.25" customHeight="1" x14ac:dyDescent="0.2">
      <c r="A6" s="44" t="s">
        <v>105</v>
      </c>
      <c r="B6" s="402">
        <v>0</v>
      </c>
      <c r="C6" s="402">
        <v>0</v>
      </c>
      <c r="D6" s="50">
        <v>200000</v>
      </c>
    </row>
    <row r="7" spans="1:22" ht="11.25" customHeight="1" x14ac:dyDescent="0.2">
      <c r="A7" s="44" t="s">
        <v>106</v>
      </c>
      <c r="B7" s="402">
        <v>364630.29</v>
      </c>
      <c r="C7" s="402">
        <v>1554909.72</v>
      </c>
      <c r="D7" s="50">
        <v>300000</v>
      </c>
    </row>
    <row r="8" spans="1:22" ht="11.25" customHeight="1" x14ac:dyDescent="0.2">
      <c r="A8" s="44" t="s">
        <v>107</v>
      </c>
      <c r="B8" s="402">
        <v>5891821.7999999998</v>
      </c>
      <c r="C8" s="402">
        <v>25748524.309999999</v>
      </c>
      <c r="D8" s="50">
        <v>400000</v>
      </c>
    </row>
    <row r="9" spans="1:22" ht="11.25" customHeight="1" x14ac:dyDescent="0.2">
      <c r="A9" s="44" t="s">
        <v>108</v>
      </c>
      <c r="B9" s="402">
        <v>844317.58</v>
      </c>
      <c r="C9" s="402">
        <v>4137126.26</v>
      </c>
      <c r="D9" s="50">
        <v>500000</v>
      </c>
    </row>
    <row r="10" spans="1:22" ht="11.25" customHeight="1" x14ac:dyDescent="0.2">
      <c r="A10" s="44" t="s">
        <v>109</v>
      </c>
      <c r="B10" s="402">
        <v>778918.54</v>
      </c>
      <c r="C10" s="402">
        <v>3871214.95</v>
      </c>
      <c r="D10" s="50">
        <v>600000</v>
      </c>
    </row>
    <row r="11" spans="1:22" ht="11.25" customHeight="1" x14ac:dyDescent="0.2">
      <c r="A11" s="44" t="s">
        <v>110</v>
      </c>
      <c r="B11" s="402">
        <v>0</v>
      </c>
      <c r="C11" s="402">
        <v>0</v>
      </c>
      <c r="D11" s="50">
        <v>700000</v>
      </c>
    </row>
    <row r="12" spans="1:22" ht="22.5" x14ac:dyDescent="0.2">
      <c r="A12" s="44" t="s">
        <v>112</v>
      </c>
      <c r="B12" s="402">
        <v>67430066.180000007</v>
      </c>
      <c r="C12" s="402">
        <v>242473458.74000001</v>
      </c>
      <c r="D12" s="50">
        <v>800000</v>
      </c>
    </row>
    <row r="13" spans="1:22" ht="11.25" customHeight="1" x14ac:dyDescent="0.2">
      <c r="A13" s="44" t="s">
        <v>113</v>
      </c>
      <c r="B13" s="402">
        <v>1523145.63</v>
      </c>
      <c r="C13" s="402">
        <v>21933048.739999998</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54426268.670000002</v>
      </c>
      <c r="C16" s="401">
        <f>SUM(C17:C32)</f>
        <v>237837692.22</v>
      </c>
      <c r="D16" s="49" t="s">
        <v>221</v>
      </c>
    </row>
    <row r="17" spans="1:4" ht="11.25" customHeight="1" x14ac:dyDescent="0.2">
      <c r="A17" s="44" t="s">
        <v>123</v>
      </c>
      <c r="B17" s="402">
        <v>25898739.5</v>
      </c>
      <c r="C17" s="402">
        <v>118246890.72</v>
      </c>
      <c r="D17" s="50">
        <v>1000</v>
      </c>
    </row>
    <row r="18" spans="1:4" ht="11.25" customHeight="1" x14ac:dyDescent="0.2">
      <c r="A18" s="44" t="s">
        <v>124</v>
      </c>
      <c r="B18" s="402">
        <v>2255039.5099999998</v>
      </c>
      <c r="C18" s="402">
        <v>23917911.030000001</v>
      </c>
      <c r="D18" s="50">
        <v>2000</v>
      </c>
    </row>
    <row r="19" spans="1:4" ht="11.25" customHeight="1" x14ac:dyDescent="0.2">
      <c r="A19" s="44" t="s">
        <v>125</v>
      </c>
      <c r="B19" s="402">
        <v>16660766.119999999</v>
      </c>
      <c r="C19" s="402">
        <v>54092804.509999998</v>
      </c>
      <c r="D19" s="50">
        <v>3000</v>
      </c>
    </row>
    <row r="20" spans="1:4" ht="11.25" customHeight="1" x14ac:dyDescent="0.2">
      <c r="A20" s="44" t="s">
        <v>127</v>
      </c>
      <c r="B20" s="402">
        <v>4986051.13</v>
      </c>
      <c r="C20" s="402">
        <v>21437576.190000001</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3034695.85</v>
      </c>
      <c r="C23" s="402">
        <v>13946750.970000001</v>
      </c>
      <c r="D23" s="50">
        <v>4400</v>
      </c>
    </row>
    <row r="24" spans="1:4" ht="11.25" customHeight="1" x14ac:dyDescent="0.2">
      <c r="A24" s="44" t="s">
        <v>131</v>
      </c>
      <c r="B24" s="402">
        <v>1590976.56</v>
      </c>
      <c r="C24" s="402">
        <v>5960229.7999999998</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235529</v>
      </c>
      <c r="D31" s="50">
        <v>8500</v>
      </c>
    </row>
    <row r="32" spans="1:4" ht="11.25" customHeight="1" x14ac:dyDescent="0.2">
      <c r="A32" s="44" t="s">
        <v>225</v>
      </c>
      <c r="B32" s="402">
        <v>0</v>
      </c>
      <c r="C32" s="402">
        <v>0</v>
      </c>
      <c r="D32" s="49" t="s">
        <v>221</v>
      </c>
    </row>
    <row r="33" spans="1:4" ht="11.25" customHeight="1" x14ac:dyDescent="0.2">
      <c r="A33" s="34" t="s">
        <v>226</v>
      </c>
      <c r="B33" s="401">
        <f>B4-B16</f>
        <v>48657469.179999992</v>
      </c>
      <c r="C33" s="401">
        <f>C4-C16</f>
        <v>91705939.76000002</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25356226.109999999</v>
      </c>
      <c r="C41" s="401">
        <f>SUM(C42:C44)</f>
        <v>53726749.210000001</v>
      </c>
      <c r="D41" s="49" t="s">
        <v>221</v>
      </c>
    </row>
    <row r="42" spans="1:4" ht="11.25" customHeight="1" x14ac:dyDescent="0.2">
      <c r="A42" s="44" t="s">
        <v>182</v>
      </c>
      <c r="B42" s="402">
        <v>25230736.109999999</v>
      </c>
      <c r="C42" s="402">
        <v>43834441.810000002</v>
      </c>
      <c r="D42" s="49">
        <v>6000</v>
      </c>
    </row>
    <row r="43" spans="1:4" ht="11.25" customHeight="1" x14ac:dyDescent="0.2">
      <c r="A43" s="44" t="s">
        <v>184</v>
      </c>
      <c r="B43" s="402">
        <v>125490</v>
      </c>
      <c r="C43" s="402">
        <v>9892307.4000000004</v>
      </c>
      <c r="D43" s="49">
        <v>5000</v>
      </c>
    </row>
    <row r="44" spans="1:4" ht="11.25" customHeight="1" x14ac:dyDescent="0.2">
      <c r="A44" s="44" t="s">
        <v>229</v>
      </c>
      <c r="B44" s="402">
        <v>0</v>
      </c>
      <c r="C44" s="402">
        <v>0</v>
      </c>
      <c r="D44" s="49">
        <v>7000</v>
      </c>
    </row>
    <row r="45" spans="1:4" ht="11.25" customHeight="1" x14ac:dyDescent="0.2">
      <c r="A45" s="34" t="s">
        <v>230</v>
      </c>
      <c r="B45" s="401">
        <f>B36-B41</f>
        <v>-25356226.109999999</v>
      </c>
      <c r="C45" s="401">
        <f>C36-C41</f>
        <v>-53726749.210000001</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11018991.220000001</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11018991.220000001</v>
      </c>
      <c r="C52" s="402">
        <v>0</v>
      </c>
      <c r="D52" s="51"/>
    </row>
    <row r="53" spans="1:4" ht="11.25" customHeight="1" x14ac:dyDescent="0.2">
      <c r="A53" s="45"/>
      <c r="B53" s="403"/>
      <c r="C53" s="403"/>
      <c r="D53" s="49" t="s">
        <v>221</v>
      </c>
    </row>
    <row r="54" spans="1:4" ht="11.25" customHeight="1" x14ac:dyDescent="0.2">
      <c r="A54" s="43" t="s">
        <v>219</v>
      </c>
      <c r="B54" s="401">
        <f>SUM(B55+B58)</f>
        <v>0</v>
      </c>
      <c r="C54" s="401">
        <f>SUM(C55+C58)</f>
        <v>16853576.690000001</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0</v>
      </c>
      <c r="C58" s="402">
        <v>16853576.690000001</v>
      </c>
      <c r="D58" s="49" t="s">
        <v>221</v>
      </c>
    </row>
    <row r="59" spans="1:4" ht="11.25" customHeight="1" x14ac:dyDescent="0.2">
      <c r="A59" s="34" t="s">
        <v>242</v>
      </c>
      <c r="B59" s="401">
        <f>B48-B54</f>
        <v>11018991.220000001</v>
      </c>
      <c r="C59" s="401">
        <f>C48-C54</f>
        <v>-16853576.690000001</v>
      </c>
      <c r="D59" s="49" t="s">
        <v>221</v>
      </c>
    </row>
    <row r="60" spans="1:4" ht="11.25" customHeight="1" x14ac:dyDescent="0.2">
      <c r="A60" s="37"/>
      <c r="B60" s="403"/>
      <c r="C60" s="403"/>
      <c r="D60" s="49" t="s">
        <v>221</v>
      </c>
    </row>
    <row r="61" spans="1:4" ht="11.25" customHeight="1" x14ac:dyDescent="0.2">
      <c r="A61" s="34" t="s">
        <v>243</v>
      </c>
      <c r="B61" s="401">
        <f>B59+B45+B33</f>
        <v>34320234.289999992</v>
      </c>
      <c r="C61" s="401">
        <f>C59+C45+C33</f>
        <v>21125613.860000014</v>
      </c>
      <c r="D61" s="49" t="s">
        <v>221</v>
      </c>
    </row>
    <row r="62" spans="1:4" ht="11.25" customHeight="1" x14ac:dyDescent="0.2">
      <c r="A62" s="37"/>
      <c r="B62" s="403"/>
      <c r="C62" s="403"/>
      <c r="D62" s="49" t="s">
        <v>221</v>
      </c>
    </row>
    <row r="63" spans="1:4" ht="11.25" customHeight="1" x14ac:dyDescent="0.2">
      <c r="A63" s="34" t="s">
        <v>244</v>
      </c>
      <c r="B63" s="401">
        <v>63443712.939999998</v>
      </c>
      <c r="C63" s="401">
        <v>42318099.079999998</v>
      </c>
      <c r="D63" s="49" t="s">
        <v>221</v>
      </c>
    </row>
    <row r="64" spans="1:4" ht="11.25" customHeight="1" x14ac:dyDescent="0.2">
      <c r="A64" s="37"/>
      <c r="B64" s="403"/>
      <c r="C64" s="403"/>
      <c r="D64" s="49" t="s">
        <v>221</v>
      </c>
    </row>
    <row r="65" spans="1:4" ht="11.25" customHeight="1" x14ac:dyDescent="0.2">
      <c r="A65" s="34" t="s">
        <v>245</v>
      </c>
      <c r="B65" s="401">
        <v>97763947.230000004</v>
      </c>
      <c r="C65" s="401">
        <v>63443712.939999998</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677</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232619462.32000002</v>
      </c>
      <c r="C3" s="401">
        <f t="shared" ref="C3:F3" si="0">C4+C12</f>
        <v>504510158.37999994</v>
      </c>
      <c r="D3" s="401">
        <f t="shared" si="0"/>
        <v>489982663.55000001</v>
      </c>
      <c r="E3" s="401">
        <f t="shared" si="0"/>
        <v>247146957.14999992</v>
      </c>
      <c r="F3" s="401">
        <f t="shared" si="0"/>
        <v>14527494.829999931</v>
      </c>
    </row>
    <row r="4" spans="1:6" x14ac:dyDescent="0.2">
      <c r="A4" s="56" t="s">
        <v>158</v>
      </c>
      <c r="B4" s="401">
        <f>SUM(B5:B11)</f>
        <v>77492892.25</v>
      </c>
      <c r="C4" s="401">
        <f>SUM(C5:C11)</f>
        <v>406350936.30999994</v>
      </c>
      <c r="D4" s="401">
        <f>SUM(D5:D11)</f>
        <v>385120765.60000002</v>
      </c>
      <c r="E4" s="401">
        <f>SUM(E5:E11)</f>
        <v>98723062.959999949</v>
      </c>
      <c r="F4" s="401">
        <f>SUM(F5:F11)</f>
        <v>21230170.709999956</v>
      </c>
    </row>
    <row r="5" spans="1:6" x14ac:dyDescent="0.2">
      <c r="A5" s="57" t="s">
        <v>160</v>
      </c>
      <c r="B5" s="402">
        <v>63443712.939999998</v>
      </c>
      <c r="C5" s="402">
        <v>300358320.64999998</v>
      </c>
      <c r="D5" s="402">
        <v>266038086.36000001</v>
      </c>
      <c r="E5" s="402">
        <f>B5+C5-D5</f>
        <v>97763947.229999959</v>
      </c>
      <c r="F5" s="402">
        <f t="shared" ref="F5:F11" si="1">E5-B5</f>
        <v>34320234.289999962</v>
      </c>
    </row>
    <row r="6" spans="1:6" x14ac:dyDescent="0.2">
      <c r="A6" s="57" t="s">
        <v>162</v>
      </c>
      <c r="B6" s="402">
        <v>1131365.69</v>
      </c>
      <c r="C6" s="402">
        <v>105992615.66</v>
      </c>
      <c r="D6" s="402">
        <v>106164865.62</v>
      </c>
      <c r="E6" s="402">
        <f t="shared" ref="E6:E11" si="2">B6+C6-D6</f>
        <v>959115.72999998927</v>
      </c>
      <c r="F6" s="402">
        <f t="shared" si="1"/>
        <v>-172249.96000001067</v>
      </c>
    </row>
    <row r="7" spans="1:6" x14ac:dyDescent="0.2">
      <c r="A7" s="57" t="s">
        <v>164</v>
      </c>
      <c r="B7" s="402">
        <v>12917813.619999999</v>
      </c>
      <c r="C7" s="402">
        <v>0</v>
      </c>
      <c r="D7" s="402">
        <v>12917813.619999999</v>
      </c>
      <c r="E7" s="402">
        <f t="shared" si="2"/>
        <v>0</v>
      </c>
      <c r="F7" s="402">
        <f t="shared" si="1"/>
        <v>-12917813.619999999</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155126570.07000002</v>
      </c>
      <c r="C12" s="401">
        <f>SUM(C13:C21)</f>
        <v>98159222.070000008</v>
      </c>
      <c r="D12" s="401">
        <f>SUM(D13:D21)</f>
        <v>104861897.95</v>
      </c>
      <c r="E12" s="401">
        <f>SUM(E13:E21)</f>
        <v>148423894.18999997</v>
      </c>
      <c r="F12" s="401">
        <f>SUM(F13:F21)</f>
        <v>-6702675.880000025</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155125505.40000001</v>
      </c>
      <c r="C15" s="404">
        <v>96434676.290000007</v>
      </c>
      <c r="D15" s="404">
        <v>101329578.73</v>
      </c>
      <c r="E15" s="404">
        <f t="shared" si="4"/>
        <v>150230602.95999998</v>
      </c>
      <c r="F15" s="404">
        <f t="shared" si="3"/>
        <v>-4894902.4400000274</v>
      </c>
    </row>
    <row r="16" spans="1:6" x14ac:dyDescent="0.2">
      <c r="A16" s="57" t="s">
        <v>184</v>
      </c>
      <c r="B16" s="402">
        <v>69862591.939999998</v>
      </c>
      <c r="C16" s="402">
        <v>361140</v>
      </c>
      <c r="D16" s="402">
        <v>1646139.5</v>
      </c>
      <c r="E16" s="402">
        <f t="shared" si="4"/>
        <v>68577592.439999998</v>
      </c>
      <c r="F16" s="402">
        <f t="shared" si="3"/>
        <v>-1284999.5</v>
      </c>
    </row>
    <row r="17" spans="1:6" x14ac:dyDescent="0.2">
      <c r="A17" s="57" t="s">
        <v>186</v>
      </c>
      <c r="B17" s="402">
        <v>5642138.46</v>
      </c>
      <c r="C17" s="402">
        <v>0</v>
      </c>
      <c r="D17" s="402">
        <v>6720</v>
      </c>
      <c r="E17" s="402">
        <f t="shared" si="4"/>
        <v>5635418.46</v>
      </c>
      <c r="F17" s="402">
        <f t="shared" si="3"/>
        <v>-6720</v>
      </c>
    </row>
    <row r="18" spans="1:6" x14ac:dyDescent="0.2">
      <c r="A18" s="57" t="s">
        <v>188</v>
      </c>
      <c r="B18" s="402">
        <v>-76249267.260000005</v>
      </c>
      <c r="C18" s="402">
        <v>1363405.78</v>
      </c>
      <c r="D18" s="402">
        <v>1879459.72</v>
      </c>
      <c r="E18" s="402">
        <f t="shared" si="4"/>
        <v>-76765321.200000003</v>
      </c>
      <c r="F18" s="402">
        <f t="shared" si="3"/>
        <v>-516053.93999999762</v>
      </c>
    </row>
    <row r="19" spans="1:6" x14ac:dyDescent="0.2">
      <c r="A19" s="57" t="s">
        <v>190</v>
      </c>
      <c r="B19" s="402">
        <v>745601.53</v>
      </c>
      <c r="C19" s="402">
        <v>0</v>
      </c>
      <c r="D19" s="402">
        <v>0</v>
      </c>
      <c r="E19" s="402">
        <f t="shared" si="4"/>
        <v>745601.53</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cp:lastModifiedBy>
  <dcterms:created xsi:type="dcterms:W3CDTF">2022-05-30T14:17:15Z</dcterms:created>
  <dcterms:modified xsi:type="dcterms:W3CDTF">2026-04-29T19:59:16Z</dcterms:modified>
</cp:coreProperties>
</file>