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ere\Documentos Usuario\Desktop\DOCUMENTOS TERE\TERE 2026\CUENTA PUBLICA 2026\1ER TRIMESTRE\"/>
    </mc:Choice>
  </mc:AlternateContent>
  <xr:revisionPtr revIDLastSave="0" documentId="8_{790B1EE7-99D8-421D-A931-79ABAE9AEFD7}" xr6:coauthVersionLast="47" xr6:coauthVersionMax="47" xr10:uidLastSave="{00000000-0000-0000-0000-000000000000}"/>
  <bookViews>
    <workbookView xWindow="-120" yWindow="-120" windowWidth="29040" windowHeight="15840" activeTab="1"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F9" i="22"/>
  <c r="E9" i="22"/>
  <c r="C9" i="22"/>
  <c r="C37" i="22" s="1"/>
  <c r="B9" i="22"/>
  <c r="D8" i="22"/>
  <c r="G8" i="22" s="1"/>
  <c r="D7" i="22"/>
  <c r="G7" i="22" s="1"/>
  <c r="G6" i="22" s="1"/>
  <c r="F6" i="22"/>
  <c r="E6" i="22"/>
  <c r="D6" i="22"/>
  <c r="C6" i="22"/>
  <c r="B6" i="22"/>
  <c r="G10" i="23"/>
  <c r="D21" i="22" l="1"/>
  <c r="E37" i="22"/>
  <c r="E56" i="14" s="1"/>
  <c r="F37" i="22"/>
  <c r="E46" i="14"/>
  <c r="E45" i="14"/>
  <c r="E50" i="14"/>
  <c r="E55" i="14"/>
  <c r="E60" i="14"/>
  <c r="E40" i="14"/>
  <c r="B37" i="22"/>
  <c r="D9" i="22"/>
  <c r="G23" i="22"/>
  <c r="G21" i="22" s="1"/>
  <c r="G14" i="22"/>
  <c r="G13" i="22" s="1"/>
  <c r="G10" i="22"/>
  <c r="G9" i="22" s="1"/>
  <c r="D26" i="22"/>
  <c r="D37" i="22" s="1"/>
  <c r="H41" i="14"/>
  <c r="H29" i="14"/>
  <c r="H24" i="14"/>
  <c r="H19" i="14"/>
  <c r="H14" i="14"/>
  <c r="E61" i="14" l="1"/>
  <c r="E41" i="14"/>
  <c r="G37" i="22"/>
  <c r="E51" i="14"/>
  <c r="E47" i="14"/>
  <c r="E62" i="14"/>
  <c r="E42" i="14"/>
  <c r="E57" i="14"/>
  <c r="E52" i="14"/>
  <c r="E59" i="14"/>
  <c r="E54" i="14"/>
  <c r="E49" i="14"/>
  <c r="E44" i="14"/>
  <c r="E3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45" i="7"/>
  <c r="B33" i="7"/>
  <c r="C43" i="6"/>
  <c r="B43" i="6"/>
  <c r="C3" i="6"/>
  <c r="B3" i="6"/>
  <c r="D38" i="5"/>
  <c r="F26" i="4"/>
  <c r="C24" i="3"/>
  <c r="B24" i="3"/>
  <c r="B28" i="4"/>
  <c r="C28" i="4"/>
  <c r="C3" i="8"/>
  <c r="C45" i="7"/>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D3" i="9" l="1"/>
  <c r="D34" i="9" s="1"/>
  <c r="B61" i="7"/>
  <c r="C61" i="7"/>
  <c r="F48" i="4"/>
  <c r="C66" i="3"/>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E15" i="14"/>
  <c r="I15" i="14" s="1"/>
  <c r="E20" i="14"/>
  <c r="I20" i="14" s="1"/>
  <c r="H51" i="14"/>
  <c r="I51" i="14" s="1"/>
  <c r="E19" i="14"/>
  <c r="I19" i="14" s="1"/>
  <c r="I18" i="14"/>
  <c r="E17" i="14"/>
  <c r="I17" i="14" s="1"/>
  <c r="D42" i="18"/>
  <c r="G42" i="18" s="1"/>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E30" i="14" s="1"/>
  <c r="I30" i="14" s="1"/>
  <c r="E38" i="15"/>
  <c r="G32" i="16"/>
  <c r="G48" i="16" s="1"/>
  <c r="G16" i="19"/>
  <c r="G15" i="19" s="1"/>
  <c r="D15" i="15"/>
  <c r="D64" i="18"/>
  <c r="G64" i="18" s="1"/>
  <c r="G35" i="19"/>
  <c r="G15" i="15"/>
  <c r="G29" i="15"/>
  <c r="G38" i="15" s="1"/>
  <c r="D29" i="15"/>
  <c r="D22" i="18"/>
  <c r="G22" i="18" s="1"/>
  <c r="I45" i="14"/>
  <c r="H46" i="14"/>
  <c r="D19" i="15"/>
  <c r="D4" i="18"/>
  <c r="G4" i="18" s="1"/>
  <c r="D13" i="16"/>
  <c r="E76" i="18"/>
  <c r="E24" i="14" s="1"/>
  <c r="I24" i="14" s="1"/>
  <c r="G15" i="17"/>
  <c r="F76" i="18"/>
  <c r="E25" i="14" s="1"/>
  <c r="I25" i="14" s="1"/>
  <c r="D5" i="19"/>
  <c r="D41" i="19" s="1"/>
  <c r="C41" i="19"/>
  <c r="H60" i="14" s="1"/>
  <c r="D35" i="19"/>
  <c r="B38" i="15"/>
  <c r="D56" i="18"/>
  <c r="G56" i="18" s="1"/>
  <c r="E41" i="19"/>
  <c r="H61" i="14" s="1"/>
  <c r="D26" i="20"/>
  <c r="E34" i="14" s="1"/>
  <c r="I34" i="14" s="1"/>
  <c r="E37" i="14"/>
  <c r="I37" i="14" s="1"/>
  <c r="E36" i="14"/>
  <c r="I36" i="14" s="1"/>
  <c r="I14" i="14"/>
  <c r="I7" i="14"/>
  <c r="D42" i="1" s="1"/>
  <c r="I9" i="14"/>
  <c r="D44" i="1" s="1"/>
  <c r="I46" i="14"/>
  <c r="I10" i="14"/>
  <c r="D45" i="1" s="1"/>
  <c r="I8" i="14"/>
  <c r="D43" i="1" s="1"/>
  <c r="G24" i="19"/>
  <c r="H62" i="14"/>
  <c r="I56" i="14"/>
  <c r="I41" i="14"/>
  <c r="G25" i="16"/>
  <c r="I40" i="14"/>
  <c r="I42" i="14"/>
  <c r="I52" i="14"/>
  <c r="G13" i="16"/>
  <c r="E29" i="14"/>
  <c r="I29" i="14" s="1"/>
  <c r="I49" i="14"/>
  <c r="I39" i="14"/>
  <c r="G7" i="19"/>
  <c r="G5" i="19" s="1"/>
  <c r="C76" i="18"/>
  <c r="E13" i="14"/>
  <c r="I13" i="14" s="1"/>
  <c r="D25" i="16"/>
  <c r="H44" i="14"/>
  <c r="I44" i="14" s="1"/>
  <c r="D15" i="17"/>
  <c r="E22" i="14" l="1"/>
  <c r="I22" i="14" s="1"/>
  <c r="D46" i="1" s="1"/>
  <c r="H57" i="14"/>
  <c r="I57" i="14" s="1"/>
  <c r="H59" i="14"/>
  <c r="I59" i="14" s="1"/>
  <c r="D52" i="1" s="1"/>
  <c r="D38" i="15"/>
  <c r="D50" i="1"/>
  <c r="E28" i="14"/>
  <c r="I28" i="14" s="1"/>
  <c r="G76" i="18"/>
  <c r="G41" i="19"/>
  <c r="D76" i="18"/>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<sst xmlns="http://schemas.openxmlformats.org/spreadsheetml/2006/main" count="1836" uniqueCount="698">
  <si>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</si>
  <si>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</si>
  <si>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</si>
  <si>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</si>
  <si>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</si>
  <si>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</si>
  <si>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</si>
  <si>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</si>
  <si>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</si>
  <si>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</si>
  <si>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</si>
  <si>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</si>
  <si>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</si>
  <si>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</si>
  <si>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</si>
  <si>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</si>
  <si>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</si>
  <si>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</si>
  <si>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</si>
  <si>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</si>
  <si>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</si>
  <si>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</si>
  <si>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</si>
  <si>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</si>
  <si>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</si>
  <si>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</si>
  <si>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</si>
  <si>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</si>
  <si>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</si>
  <si>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</si>
  <si>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</si>
  <si>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</si>
  <si>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</si>
  <si>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</si>
  <si>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</si>
  <si>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</si>
  <si>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</si>
  <si>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</si>
  <si>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</si>
  <si>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</si>
  <si>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</si>
  <si>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</si>
  <si>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</si>
  <si>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</si>
  <si>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</si>
  <si>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</si>
  <si>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</si>
  <si>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</si>
  <si>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</si>
  <si>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</si>
  <si>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</si>
  <si>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</si>
  <si>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</si>
  <si>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</si>
  <si>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</si>
  <si>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</si>
  <si>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</si>
  <si>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</si>
  <si>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</si>
  <si>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</si>
  <si>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</si>
  <si>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</si>
  <si>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</si>
  <si>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</si>
  <si>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</si>
  <si>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</si>
  <si>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</si>
  <si>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</si>
  <si>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</si>
  <si>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</si>
  <si>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</si>
  <si>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</si>
  <si>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</si>
  <si>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</si>
  <si>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</si>
  <si>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</si>
  <si>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</si>
  <si>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</si>
  <si>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</si>
  <si>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</si>
  <si>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</si>
  <si>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</si>
  <si>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</si>
  <si>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</si>
  <si>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</si>
  <si>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</si>
  <si>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</si>
  <si>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</si>
  <si>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</si>
  <si>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</si>
  <si>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</si>
  <si>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</si>
  <si>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</si>
  <si>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</si>
  <si>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</si>
  <si>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</si>
  <si>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</si>
  <si>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</si>
  <si>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</si>
  <si>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</si>
  <si>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</si>
  <si>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</si>
  <si>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</si>
  <si>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</si>
  <si>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</si>
  <si>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</si>
  <si>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</si>
  <si>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</si>
  <si>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</si>
  <si>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</si>
  <si>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</si>
  <si>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</si>
  <si>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</si>
  <si>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</si>
  <si>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</si>
  <si>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</si>
  <si>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</si>
  <si>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</si>
  <si>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</si>
  <si>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</si>
  <si>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</si>
  <si>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</si>
  <si>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</si>
  <si>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</si>
  <si>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</si>
  <si>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</si>
  <si>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</si>
  <si>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</si>
  <si>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</si>
  <si>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</si>
  <si>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</si>
  <si>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</si>
  <si>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</si>
  <si>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</si>
  <si>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</si>
  <si>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</si>
  <si>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</si>
  <si>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</si>
  <si>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</si>
  <si>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</si>
  <si>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</si>
  <si>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</si>
  <si>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</si>
  <si>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</si>
  <si>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</si>
  <si>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</si>
  <si>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</si>
  <si>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</si>
  <si>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</si>
  <si>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</si>
  <si>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</si>
  <si>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</si>
  <si>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</si>
  <si>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</si>
  <si>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</si>
  <si>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</si>
  <si>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</si>
  <si>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</si>
  <si>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</si>
  <si>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</si>
  <si>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</si>
  <si>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</si>
  <si>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</si>
  <si>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</si>
  <si>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</si>
  <si>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</si>
  <si>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</si>
  <si>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</si>
  <si>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</si>
  <si>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</si>
  <si>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</si>
  <si>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</si>
  <si>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</si>
  <si>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</si>
  <si>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</si>
  <si>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</si>
  <si>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</si>
  <si>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</si>
  <si>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</si>
  <si>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</si>
  <si>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</si>
  <si>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</si>
  <si>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</si>
  <si>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</si>
  <si>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</si>
  <si>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</si>
  <si>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</si>
  <si>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</si>
  <si>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</si>
  <si>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</si>
  <si>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</si>
  <si>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</si>
  <si>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</si>
  <si>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</si>
  <si>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</si>
  <si>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</si>
  <si>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</si>
  <si>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</si>
  <si>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</si>
  <si>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</si>
  <si>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</si>
  <si>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</si>
  <si>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</si>
  <si>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</si>
  <si>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</si>
  <si>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</si>
  <si>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</si>
  <si>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</si>
  <si>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</si>
  <si>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</si>
  <si>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</si>
  <si>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</si>
  <si>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</si>
  <si>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</si>
  <si>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</si>
  <si>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</si>
  <si>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</si>
  <si>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</si>
  <si>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</si>
  <si>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</si>
  <si>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</si>
  <si>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</si>
  <si>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</si>
  <si>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</si>
  <si>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</si>
  <si>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</si>
  <si>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</si>
  <si>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</si>
  <si>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</si>
  <si>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</si>
  <si>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</si>
  <si>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</si>
  <si>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</si>
  <si>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</si>
  <si>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</si>
  <si>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</si>
  <si>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</si>
  <si>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</si>
  <si>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</si>
  <si>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</si>
  <si>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</si>
  <si>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</si>
  <si>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</si>
  <si>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</si>
  <si>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</si>
  <si>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</si>
  <si>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</si>
  <si>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</si>
  <si>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</si>
  <si>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</si>
  <si>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</si>
  <si>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</si>
  <si>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</si>
  <si>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</si>
  <si>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</si>
  <si>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</si>
  <si>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</si>
  <si>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</si>
  <si>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</si>
  <si>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</si>
  <si>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</si>
  <si>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</si>
  <si>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</si>
  <si>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</si>
  <si>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</si>
  <si>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</si>
  <si>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</si>
  <si>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</si>
  <si>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</si>
  <si>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</si>
  <si>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</si>
  <si>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</si>
  <si>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</si>
  <si>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</si>
  <si>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</si>
  <si>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</si>
  <si>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</si>
  <si>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</si>
  <si>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</si>
  <si>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</si>
  <si>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</si>
  <si>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</si>
  <si>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</si>
  <si>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</si>
  <si>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</si>
  <si>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</si>
  <si>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</si>
  <si>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</si>
  <si>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</si>
  <si>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</si>
  <si>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</si>
  <si>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</si>
  <si>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</si>
  <si>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</si>
  <si>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</si>
  <si>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</si>
  <si>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</si>
  <si>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</si>
  <si>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</si>
  <si>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</si>
  <si>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</si>
  <si>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</si>
  <si>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</si>
  <si>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</si>
  <si>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</si>
  <si>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</si>
  <si>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</si>
  <si>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</si>
  <si>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</si>
  <si>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</si>
  <si>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</si>
  <si>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</si>
  <si>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</si>
  <si>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</si>
  <si>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</si>
  <si>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</si>
  <si>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</si>
  <si>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</si>
  <si>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</si>
  <si>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</si>
  <si>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</si>
  <si>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</si>
  <si>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</si>
  <si>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</si>
  <si>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</si>
  <si>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</si>
  <si>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</si>
  <si>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</si>
  <si>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</si>
  <si>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</si>
  <si>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</si>
  <si>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</si>
  <si>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</si>
  <si>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</si>
  <si>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</si>
  <si>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</si>
  <si>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</si>
  <si>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</si>
  <si>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</si>
  <si>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</si>
  <si>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</si>
  <si>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</si>
  <si>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</si>
  <si>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</si>
  <si>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</si>
  <si>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</si>
  <si>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</si>
  <si>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</si>
  <si>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</si>
  <si>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</si>
  <si>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</si>
  <si>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</si>
  <si>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</si>
  <si>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</si>
  <si>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</si>
  <si>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</si>
  <si>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</si>
  <si>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</si>
  <si>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</si>
  <si>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</si>
  <si>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</si>
  <si>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</si>
  <si>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</si>
  <si>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</si>
  <si>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</si>
  <si>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</si>
  <si>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</si>
  <si>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</si>
  <si>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</si>
  <si>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</si>
  <si>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</si>
  <si>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</si>
  <si>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</si>
  <si>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</si>
  <si>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</si>
  <si>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</si>
  <si>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</si>
  <si>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</si>
  <si>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</si>
  <si>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</si>
  <si>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</si>
  <si>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</si>
  <si>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</si>
  <si>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</si>
  <si>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</si>
  <si>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</si>
  <si>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</si>
  <si>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</si>
  <si>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</si>
  <si>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</si>
  <si>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</si>
  <si>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</si>
  <si>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</si>
  <si>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</si>
  <si>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</si>
  <si>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</si>
  <si>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</si>
  <si>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</si>
  <si>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</si>
  <si>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</si>
  <si>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</si>
  <si>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</si>
  <si>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</si>
  <si>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</si>
  <si>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</si>
  <si>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</si>
  <si>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</si>
  <si>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</si>
  <si>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</si>
  <si>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</si>
  <si>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</si>
  <si>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</si>
  <si>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</si>
  <si>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</si>
  <si>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</si>
  <si>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</si>
  <si>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</si>
  <si>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</si>
  <si>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</si>
  <si>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</si>
  <si>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</si>
  <si>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</si>
  <si>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</si>
  <si>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</si>
  <si>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</si>
  <si>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</si>
  <si>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</si>
  <si>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</si>
  <si>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</si>
  <si>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</si>
  <si>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</si>
  <si>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</si>
  <si>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</si>
  <si>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</si>
  <si>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</si>
  <si>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</si>
  <si>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</si>
  <si>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</si>
  <si>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</si>
  <si>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</si>
  <si>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</si>
  <si>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</si>
  <si>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</si>
  <si>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</si>
  <si>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</si>
  <si>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</si>
  <si>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</si>
  <si>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</si>
  <si>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</si>
  <si>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</si>
  <si>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</si>
  <si>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</si>
  <si>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</si>
  <si>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</si>
  <si>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</si>
  <si>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</si>
  <si>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</si>
  <si>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</si>
  <si>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</si>
  <si>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</si>
  <si>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</si>
  <si>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</si>
  <si>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</si>
  <si>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</si>
  <si>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</si>
  <si>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</si>
  <si>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</si>
  <si>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</si>
  <si>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</si>
  <si>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</si>
  <si>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</si>
  <si>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</si>
  <si>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</si>
  <si>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</si>
  <si>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</si>
  <si>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</si>
  <si>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</si>
  <si>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</si>
  <si>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</si>
  <si>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</si>
  <si>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</si>
  <si>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</si>
  <si>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</si>
  <si>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</si>
  <si>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</si>
  <si>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</si>
  <si>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</si>
  <si>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</si>
  <si>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</si>
  <si>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</si>
  <si>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</si>
  <si>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</si>
  <si>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</si>
  <si>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</si>
  <si>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</si>
  <si>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</si>
  <si>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</si>
  <si>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</si>
  <si>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</si>
  <si>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</si>
  <si>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</si>
  <si>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</si>
  <si>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</si>
  <si>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</si>
  <si>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</si>
  <si>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</si>
  <si>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</si>
  <si>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</si>
  <si>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</si>
  <si>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</si>
  <si>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</si>
  <si>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</si>
  <si>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</si>
  <si>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</si>
  <si>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</si>
  <si>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</si>
  <si>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</si>
  <si>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</si>
  <si>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</si>
  <si>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</si>
  <si>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</si>
  <si>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</si>
  <si>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</si>
  <si>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</si>
  <si>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</si>
  <si>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</si>
  <si>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</si>
  <si>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</si>
  <si>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</si>
  <si>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</si>
  <si>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</si>
  <si>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</si>
  <si>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</si>
  <si>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</si>
  <si>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</si>
  <si>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</si>
  <si>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</si>
  <si>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</si>
  <si>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</si>
  <si>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</si>
  <si>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</si>
  <si>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</si>
  <si>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</si>
  <si>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</si>
  <si>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</si>
  <si>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</si>
  <si>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</si>
  <si>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</si>
  <si>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</si>
  <si>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</si>
  <si>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</si>
  <si>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</si>
  <si>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</si>
  <si>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</si>
  <si>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</si>
  <si>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</si>
  <si>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</si>
  <si>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</si>
  <si>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</si>
  <si>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</si>
  <si>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</si>
  <si>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</si>
  <si>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</si>
  <si>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</si>
  <si>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</si>
  <si>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</si>
  <si>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</si>
  <si>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</si>
  <si>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</si>
  <si>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</si>
  <si>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</si>
  <si>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</si>
  <si>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</si>
  <si>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</si>
  <si>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</si>
  <si>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</si>
  <si>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</si>
  <si>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</si>
  <si>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</si>
  <si>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</si>
  <si>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</si>
  <si>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</si>
  <si>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</si>
  <si>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</si>
  <si>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</si>
  <si>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</si>
  <si>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</si>
  <si>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</si>
  <si>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</si>
  <si>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</si>
  <si>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</si>
  <si>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</si>
  <si>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</si>
  <si>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</si>
  <si>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</si>
  <si>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</si>
  <si>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</si>
  <si>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</si>
  <si>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</si>
  <si>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</si>
  <si>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</si>
  <si>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</si>
  <si>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</si>
  <si>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</si>
  <si>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</si>
  <si>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</si>
  <si>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</si>
  <si>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</si>
  <si>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</si>
  <si>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</si>
  <si>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</si>
  <si>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</si>
  <si>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</si>
  <si>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</si>
  <si>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</si>
  <si>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</si>
  <si>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</si>
  <si>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</si>
  <si>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</si>
  <si>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</si>
  <si>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</si>
  <si>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</si>
  <si>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</si>
  <si>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</si>
  <si>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</si>
  <si>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</si>
  <si>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</si>
  <si>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</si>
  <si>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</si>
  <si>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</si>
  <si>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</si>
  <si>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</si>
  <si>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</si>
  <si>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</si>
  <si>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</si>
  <si>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</si>
  <si>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</si>
  <si>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</si>
  <si>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</si>
  <si>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</si>
  <si>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</si>
  <si>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</si>
  <si>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</si>
  <si>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</si>
  <si>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</si>
  <si>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</si>
  <si>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</si>
  <si>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</si>
  <si>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</si>
  <si>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</si>
  <si>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</si>
  <si>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</si>
  <si>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</si>
  <si>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</si>
  <si>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</si>
  <si>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</si>
  <si>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</si>
  <si>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</si>
  <si>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</si>
  <si>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</si>
  <si>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</si>
  <si>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</si>
  <si>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</si>
  <si>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</si>
  <si>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Sistema Municipal de Agua Potable y Alcantarillado de Uriangato, Gto.
Estado de Actividades
Del 1 de Enero al 31 de Marzo de 2026
(Cifras en Pesos)</t>
  </si>
  <si>
    <t>Sistema Municipal de Agua Potable y Alcantarillado de Uriangato,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</si>
  <si>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</si>
  <si>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</si>
  <si>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</si>
  <si>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</si>
  <si>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</si>
  <si>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</si>
  <si>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</si>
  <si>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</si>
  <si>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Municipal de Agua Potable y Alcantarillado de Uriangato, Gto.
Estado de Variación en la Hacienda Pública
Del 1 de Enero 31 de Marzo de 2026
(Cifras en Pesos)</t>
  </si>
  <si>
    <t>Sistema Municipal de Agua Potable y Alcantarillado de Uriangato, Gto.
Estado de Cambios en la Situación Financiera
Del 1 de Enero al 31 de Marzo de 2026
(Cifras en Pesos)</t>
  </si>
  <si>
    <t>Sistema Municipal de Agua Potable y Alcantarillado de Uriangato, Gto.
Estado de Flujos de Efectivo
Del 1 de Enero al 31 de Marzo de 2026
(Cifras en Pesos)</t>
  </si>
  <si>
    <t>Sistema Municipal de Agua Potable y Alcantarillado de Uriangato, Gto.
Estado Analítico del Activo
Del 1 de Enero al 31 de Marzo de 2026
(Cifras en Pesos)</t>
  </si>
  <si>
    <t>Sistema Municipal de Agua Potable y Alcantarillado de Uriangato, Gto.
Estado Analítico de la Deuda y Otros Pasivos
Del 1 de Enero al 31 de Marzo de 2026
(Cifras en Pesos)</t>
  </si>
  <si>
    <t>Sistema Municipal de Agua Potable y Alcantarillado de Uriangato, Gto.</t>
  </si>
  <si>
    <t>Correspondiente del 1 de Enero al 31 de Marzo de 2026</t>
  </si>
  <si>
    <t>Sistema Municipal de Agua Potable y Alcantarillado de Uriangato, Gto.
Estado Analítico del Ejercicio del Presupuesto de Egresos
Clasificación por Objeto del Gasto (Capítulo y Concepto)
Del 1 de Enero al 31 de Marzo de 2026
(Cifras en Pesos)</t>
  </si>
  <si>
    <t>Sistema Municipal de Agua Potable y Alcantarillado de Uriangato, Gto.
Estado Analítico del Ejercicio del Presupuesto de Egresos
Clasificación Económica (por Tipo de Gasto)
Del 1 de Enero al 31 de Marzo de 2026
(Cifras en Pesos)</t>
  </si>
  <si>
    <t>31120M41A010000 DIRECCION GENERAL</t>
  </si>
  <si>
    <t>31120M41A020000 DIRECCION ADMINISTRATIVA</t>
  </si>
  <si>
    <t>31120M41A030000 DIRECCION TECNICA</t>
  </si>
  <si>
    <t>31120M41A040000 DIRECCION COMERCIAL</t>
  </si>
  <si>
    <t>31120M41A050000 DIRECCION CONTABLE</t>
  </si>
  <si>
    <t>Sistema Municipal de Agua Potable y Alcantarillado de Uriangato, Gto.
Estado Analítico del Ejercicio del Presupuesto de Egresos
Clasificación Administrativa
Del 1 de Enero al 31 de Marzo de 2026
(Cifras en Pesos)</t>
  </si>
  <si>
    <t>Sistema Municipal de Agua Potable y Alcantarillado de Uriangato, Gto.
Estado Analítico del Ejercicio del Presupuesto de Egresos
Clasificación Funcional (Finalidad y Función)
Del 1 de Enero al 31 de Marzo de 2026
(Cifras en Pesos)</t>
  </si>
  <si>
    <t>Sistema Municipal de Agua Potable y Alcantarillado de Uriangato, Gto.
Estado Analítico de Ingresos
Del 1 de Enero al 31 de Marzo de 2026
(Cifras en Pesos)</t>
  </si>
  <si>
    <t>Sistema Municipal de Agua Potable y Alcantarillado de Uriangato, Gto.
Gasto por Categoría Programática
Del 1 de Enero al 31 de Marzo de 2026
(Cifras en Pesos)</t>
  </si>
  <si>
    <t>Sistema Municipal de Agua Potable y Alcantarillado de Uriangato, Gto.
INDICADORES DE POSTURA FISCAL
Del 1 de Enero al 31 de Marzo de 2026
(Cifras en Pesos)</t>
  </si>
  <si>
    <t>Adelanto de participaciones</t>
  </si>
  <si>
    <t>Con otros entes municipales</t>
  </si>
  <si>
    <t>Sistema Municipal de Agua Potable y Alcantarillado de Uriangato, Gto.
Endeudamiento Neto
Del 1 de Enero al 31 de Marzo de 2026
(Cifras en Pesos)</t>
  </si>
  <si>
    <t>Sistema Municipal de Agua Potable y Alcantarillado de Uriangato,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</si>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</sst>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opLeftCell="A45"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679</v>
      </c>
      <c r="B1" s="435"/>
      <c r="C1" s="1" t="s">
        <v>0</v>
      </c>
      <c r="D1" s="2">
        <v>2026</v>
      </c>
    </row>
    <row r="2" spans="1:4" x14ac:dyDescent="0.2">
      <c r="A2" s="435" t="s">
        <v>1</v>
      </c>
      <c r="B2" s="435"/>
      <c r="C2" s="1" t="s">
        <v>2</v>
      </c>
      <c r="D2" s="2" t="s">
        <v>3</v>
      </c>
    </row>
    <row r="3" spans="1:4" x14ac:dyDescent="0.2">
      <c r="A3" s="435" t="s">
        <v>680</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678</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13439365.58</v>
      </c>
      <c r="E32" s="401">
        <v>13555706.640000001</v>
      </c>
    </row>
    <row r="33" spans="1:5" ht="11.25" customHeight="1" x14ac:dyDescent="0.2">
      <c r="A33" s="62"/>
      <c r="B33" s="26"/>
      <c r="C33" s="26"/>
      <c r="D33" s="403"/>
      <c r="E33" s="403"/>
    </row>
    <row r="34" spans="1:5" ht="11.25" customHeight="1" x14ac:dyDescent="0.2">
      <c r="A34" s="43" t="s">
        <v>269</v>
      </c>
      <c r="B34" s="26"/>
      <c r="C34" s="26"/>
      <c r="D34" s="401">
        <f>D32+D3</f>
        <v>13439365.58</v>
      </c>
      <c r="E34" s="401">
        <f>E32+E3</f>
        <v>13555706.640000001</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690</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67940822</v>
      </c>
      <c r="C10" s="231">
        <v>0</v>
      </c>
      <c r="D10" s="231">
        <f t="shared" si="0"/>
        <v>67940822</v>
      </c>
      <c r="E10" s="231">
        <v>17618422.66</v>
      </c>
      <c r="F10" s="231">
        <v>17618422.66</v>
      </c>
      <c r="G10" s="231">
        <f t="shared" si="1"/>
        <v>-50322399.340000004</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67940822</v>
      </c>
      <c r="C15" s="234">
        <f>SUM(C4:C13)</f>
        <v>0</v>
      </c>
      <c r="D15" s="234">
        <f t="shared" ref="D15:G15" si="2">SUM(D4:D13)</f>
        <v>67940822</v>
      </c>
      <c r="E15" s="234">
        <f t="shared" si="2"/>
        <v>17618422.66</v>
      </c>
      <c r="F15" s="235">
        <f t="shared" si="2"/>
        <v>17618422.66</v>
      </c>
      <c r="G15" s="236">
        <f t="shared" si="2"/>
        <v>-50322399.340000004</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67940822</v>
      </c>
      <c r="C29" s="251">
        <f t="shared" si="6"/>
        <v>0</v>
      </c>
      <c r="D29" s="251">
        <f t="shared" si="6"/>
        <v>67940822</v>
      </c>
      <c r="E29" s="251">
        <f t="shared" si="6"/>
        <v>17618422.66</v>
      </c>
      <c r="F29" s="251">
        <f t="shared" si="6"/>
        <v>17618422.66</v>
      </c>
      <c r="G29" s="251">
        <f t="shared" si="6"/>
        <v>-50322399.340000004</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67940822</v>
      </c>
      <c r="C32" s="248">
        <v>0</v>
      </c>
      <c r="D32" s="248">
        <f>B32+C32</f>
        <v>67940822</v>
      </c>
      <c r="E32" s="248">
        <v>17618422.66</v>
      </c>
      <c r="F32" s="248">
        <v>17618422.66</v>
      </c>
      <c r="G32" s="248">
        <f t="shared" si="7"/>
        <v>-50322399.340000004</v>
      </c>
      <c r="H32" s="228" t="s">
        <v>410</v>
      </c>
    </row>
    <row r="33" spans="1:8" ht="21.4"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67940822</v>
      </c>
      <c r="C38" s="234">
        <f t="shared" ref="C38:G38" si="9">SUM(C35+C29+C19)</f>
        <v>0</v>
      </c>
      <c r="D38" s="234">
        <f t="shared" si="9"/>
        <v>67940822</v>
      </c>
      <c r="E38" s="234">
        <f t="shared" si="9"/>
        <v>17618422.66</v>
      </c>
      <c r="F38" s="234">
        <f t="shared" si="9"/>
        <v>17618422.66</v>
      </c>
      <c r="G38" s="236">
        <f t="shared" si="9"/>
        <v>-50322399.340000004</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688</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683</v>
      </c>
      <c r="B5" s="266">
        <v>1659525.21</v>
      </c>
      <c r="C5" s="266">
        <v>0</v>
      </c>
      <c r="D5" s="266">
        <f>B5+C5</f>
        <v>1659525.21</v>
      </c>
      <c r="E5" s="266">
        <v>310657.07</v>
      </c>
      <c r="F5" s="266">
        <v>310657.07</v>
      </c>
      <c r="G5" s="266">
        <f>D5-E5</f>
        <v>1348868.14</v>
      </c>
    </row>
    <row r="6" spans="1:7" x14ac:dyDescent="0.25">
      <c r="A6" s="265" t="s">
        <v>684</v>
      </c>
      <c r="B6" s="266">
        <v>7415627.75</v>
      </c>
      <c r="C6" s="266">
        <v>0</v>
      </c>
      <c r="D6" s="266">
        <f t="shared" ref="D6:D12" si="0">B6+C6</f>
        <v>7415627.75</v>
      </c>
      <c r="E6" s="266">
        <v>1325269.18</v>
      </c>
      <c r="F6" s="266">
        <v>1325269.18</v>
      </c>
      <c r="G6" s="266">
        <f t="shared" ref="G6:G12" si="1">D6-E6</f>
        <v>6090358.5700000003</v>
      </c>
    </row>
    <row r="7" spans="1:7" x14ac:dyDescent="0.25">
      <c r="A7" s="265" t="s">
        <v>685</v>
      </c>
      <c r="B7" s="266">
        <v>50090800.420000002</v>
      </c>
      <c r="C7" s="266">
        <v>4629439.22</v>
      </c>
      <c r="D7" s="266">
        <f t="shared" si="0"/>
        <v>54720239.640000001</v>
      </c>
      <c r="E7" s="266">
        <v>8943999.3699999992</v>
      </c>
      <c r="F7" s="266">
        <v>8943999.3699999992</v>
      </c>
      <c r="G7" s="266">
        <f t="shared" si="1"/>
        <v>45776240.270000003</v>
      </c>
    </row>
    <row r="8" spans="1:7" x14ac:dyDescent="0.25">
      <c r="A8" s="265" t="s">
        <v>686</v>
      </c>
      <c r="B8" s="266">
        <v>6935523.6399999997</v>
      </c>
      <c r="C8" s="266">
        <v>0</v>
      </c>
      <c r="D8" s="266">
        <f t="shared" si="0"/>
        <v>6935523.6399999997</v>
      </c>
      <c r="E8" s="266">
        <v>1271432.06</v>
      </c>
      <c r="F8" s="266">
        <v>1271432.06</v>
      </c>
      <c r="G8" s="266">
        <f t="shared" si="1"/>
        <v>5664091.5800000001</v>
      </c>
    </row>
    <row r="9" spans="1:7" x14ac:dyDescent="0.25">
      <c r="A9" s="265" t="s">
        <v>687</v>
      </c>
      <c r="B9" s="266">
        <v>1839344.98</v>
      </c>
      <c r="C9" s="266">
        <v>0</v>
      </c>
      <c r="D9" s="266">
        <f t="shared" si="0"/>
        <v>1839344.98</v>
      </c>
      <c r="E9" s="266">
        <v>364649</v>
      </c>
      <c r="F9" s="266">
        <v>364649</v>
      </c>
      <c r="G9" s="266">
        <f t="shared" si="1"/>
        <v>1474695.98</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428</v>
      </c>
      <c r="B13" s="268">
        <f t="shared" ref="B13:C13" si="2">SUM(B5:B12)</f>
        <v>67940822</v>
      </c>
      <c r="C13" s="268">
        <f t="shared" si="2"/>
        <v>4629439.22</v>
      </c>
      <c r="D13" s="268">
        <f>SUM(D5:D12)</f>
        <v>72570261.219999999</v>
      </c>
      <c r="E13" s="268">
        <f t="shared" ref="E13:G13" si="3">SUM(E5:E12)</f>
        <v>12216006.68</v>
      </c>
      <c r="F13" s="268">
        <f t="shared" si="3"/>
        <v>12216006.68</v>
      </c>
      <c r="G13" s="268">
        <f t="shared" si="3"/>
        <v>60354254.539999999</v>
      </c>
    </row>
    <row r="16" spans="1:7" ht="55.15" customHeight="1" x14ac:dyDescent="0.25">
      <c r="A16" s="491" t="s">
        <v>688</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429</v>
      </c>
      <c r="B20" s="266">
        <v>0</v>
      </c>
      <c r="C20" s="266">
        <v>0</v>
      </c>
      <c r="D20" s="266">
        <f>B20+C20</f>
        <v>0</v>
      </c>
      <c r="E20" s="266">
        <v>0</v>
      </c>
      <c r="F20" s="266">
        <v>0</v>
      </c>
      <c r="G20" s="266">
        <f>D20-E20</f>
        <v>0</v>
      </c>
    </row>
    <row r="21" spans="1:7" x14ac:dyDescent="0.25">
      <c r="A21" s="271" t="s">
        <v>430</v>
      </c>
      <c r="B21" s="266">
        <v>0</v>
      </c>
      <c r="C21" s="266">
        <v>0</v>
      </c>
      <c r="D21" s="266">
        <f t="shared" ref="D21:D23" si="4">B21+C21</f>
        <v>0</v>
      </c>
      <c r="E21" s="266">
        <v>0</v>
      </c>
      <c r="F21" s="266">
        <v>0</v>
      </c>
      <c r="G21" s="266">
        <f t="shared" ref="G21:G23" si="5">D21-E21</f>
        <v>0</v>
      </c>
    </row>
    <row r="22" spans="1:7" x14ac:dyDescent="0.25">
      <c r="A22" s="271" t="s">
        <v>431</v>
      </c>
      <c r="B22" s="266">
        <v>0</v>
      </c>
      <c r="C22" s="266">
        <v>0</v>
      </c>
      <c r="D22" s="266">
        <f t="shared" si="4"/>
        <v>0</v>
      </c>
      <c r="E22" s="266">
        <v>0</v>
      </c>
      <c r="F22" s="266">
        <v>0</v>
      </c>
      <c r="G22" s="266">
        <f t="shared" si="5"/>
        <v>0</v>
      </c>
    </row>
    <row r="23" spans="1:7" x14ac:dyDescent="0.25">
      <c r="A23" s="271" t="s">
        <v>432</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428</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688</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433</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434</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435</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436</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437</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438</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439</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440</v>
      </c>
      <c r="B46" s="266">
        <v>67940822</v>
      </c>
      <c r="C46" s="266">
        <v>4629439.22</v>
      </c>
      <c r="D46" s="266">
        <f t="shared" ref="D46" si="11">B46+C46</f>
        <v>72570261.219999999</v>
      </c>
      <c r="E46" s="266">
        <v>12216006.68</v>
      </c>
      <c r="F46" s="266">
        <v>12216006.68</v>
      </c>
      <c r="G46" s="266">
        <f t="shared" ref="G46" si="12">D46-E46</f>
        <v>60354254.539999999</v>
      </c>
    </row>
    <row r="47" spans="1:7" x14ac:dyDescent="0.25">
      <c r="A47" s="272"/>
      <c r="B47" s="266"/>
      <c r="C47" s="266"/>
      <c r="D47" s="266"/>
      <c r="E47" s="266"/>
      <c r="F47" s="266"/>
      <c r="G47" s="266"/>
    </row>
    <row r="48" spans="1:7" x14ac:dyDescent="0.25">
      <c r="A48" s="267" t="s">
        <v>428</v>
      </c>
      <c r="B48" s="268">
        <f t="shared" ref="B48:G48" si="13">SUM(B32:B46)</f>
        <v>67940822</v>
      </c>
      <c r="C48" s="268">
        <f t="shared" si="13"/>
        <v>4629439.22</v>
      </c>
      <c r="D48" s="268">
        <f t="shared" si="13"/>
        <v>72570261.219999999</v>
      </c>
      <c r="E48" s="268">
        <f t="shared" si="13"/>
        <v>12216006.68</v>
      </c>
      <c r="F48" s="268">
        <f t="shared" si="13"/>
        <v>12216006.68</v>
      </c>
      <c r="G48" s="268">
        <f t="shared" si="13"/>
        <v>60354254.539999999</v>
      </c>
    </row>
    <row r="50" spans="1:1" x14ac:dyDescent="0.25">
      <c r="A50" s="255" t="s">
        <v>441</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682</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62837035.25</v>
      </c>
      <c r="C5" s="266">
        <v>1000000</v>
      </c>
      <c r="D5" s="266">
        <f>B5+C5</f>
        <v>63837035.25</v>
      </c>
      <c r="E5" s="266">
        <v>11185071.199999999</v>
      </c>
      <c r="F5" s="266">
        <v>11185071.199999999</v>
      </c>
      <c r="G5" s="266">
        <f>D5-E5</f>
        <v>52651964.049999997</v>
      </c>
    </row>
    <row r="6" spans="1:7" x14ac:dyDescent="0.25">
      <c r="A6" s="273"/>
      <c r="B6" s="266"/>
      <c r="C6" s="266"/>
      <c r="D6" s="266"/>
      <c r="E6" s="266"/>
      <c r="F6" s="266"/>
      <c r="G6" s="266"/>
    </row>
    <row r="7" spans="1:7" ht="10.15" customHeight="1" x14ac:dyDescent="0.25">
      <c r="A7" s="273" t="s">
        <v>443</v>
      </c>
      <c r="B7" s="266">
        <v>5103786.75</v>
      </c>
      <c r="C7" s="266">
        <v>3629439.22</v>
      </c>
      <c r="D7" s="266">
        <f>B7+C7</f>
        <v>8733225.9700000007</v>
      </c>
      <c r="E7" s="266">
        <v>1030935.48</v>
      </c>
      <c r="F7" s="266">
        <v>1030935.48</v>
      </c>
      <c r="G7" s="266">
        <f>D7-E7</f>
        <v>7702290.4900000002</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67940822</v>
      </c>
      <c r="C15" s="278">
        <f t="shared" si="0"/>
        <v>4629439.2200000007</v>
      </c>
      <c r="D15" s="278">
        <f t="shared" si="0"/>
        <v>72570261.219999999</v>
      </c>
      <c r="E15" s="278">
        <f t="shared" si="0"/>
        <v>12216006.68</v>
      </c>
      <c r="F15" s="278">
        <f t="shared" si="0"/>
        <v>12216006.68</v>
      </c>
      <c r="G15" s="278">
        <f t="shared" si="0"/>
        <v>60354254.539999999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681</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22368735.25</v>
      </c>
      <c r="C4" s="280">
        <f>SUM(C5:C11)</f>
        <v>0</v>
      </c>
      <c r="D4" s="280">
        <f>B4+C4</f>
        <v>22368735.25</v>
      </c>
      <c r="E4" s="280">
        <f>SUM(E5:E11)</f>
        <v>4053694.81</v>
      </c>
      <c r="F4" s="280">
        <f>SUM(F5:F11)</f>
        <v>4053694.81</v>
      </c>
      <c r="G4" s="280">
        <f>D4-E4</f>
        <v>18315040.440000001</v>
      </c>
    </row>
    <row r="5" spans="1:8" x14ac:dyDescent="0.25">
      <c r="A5" s="281" t="s">
        <v>445</v>
      </c>
      <c r="B5" s="266">
        <v>13608846.630000001</v>
      </c>
      <c r="C5" s="266">
        <v>0</v>
      </c>
      <c r="D5" s="266">
        <f t="shared" ref="D5:D68" si="0">B5+C5</f>
        <v>13608846.630000001</v>
      </c>
      <c r="E5" s="266">
        <v>2826147.96</v>
      </c>
      <c r="F5" s="266">
        <v>2826147.96</v>
      </c>
      <c r="G5" s="266">
        <f t="shared" ref="G5:G68" si="1">D5-E5</f>
        <v>10782698.670000002</v>
      </c>
      <c r="H5" s="282">
        <v>1100</v>
      </c>
    </row>
    <row r="6" spans="1:8" x14ac:dyDescent="0.25">
      <c r="A6" s="281" t="s">
        <v>446</v>
      </c>
      <c r="B6" s="266">
        <v>80000</v>
      </c>
      <c r="C6" s="266">
        <v>0</v>
      </c>
      <c r="D6" s="266">
        <f t="shared" si="0"/>
        <v>80000</v>
      </c>
      <c r="E6" s="266">
        <v>0</v>
      </c>
      <c r="F6" s="266">
        <v>0</v>
      </c>
      <c r="G6" s="266">
        <f t="shared" si="1"/>
        <v>80000</v>
      </c>
      <c r="H6" s="282">
        <v>1200</v>
      </c>
    </row>
    <row r="7" spans="1:8" x14ac:dyDescent="0.25">
      <c r="A7" s="281" t="s">
        <v>447</v>
      </c>
      <c r="B7" s="266">
        <v>2792763.62</v>
      </c>
      <c r="C7" s="266">
        <v>0</v>
      </c>
      <c r="D7" s="266">
        <f t="shared" si="0"/>
        <v>2792763.62</v>
      </c>
      <c r="E7" s="266">
        <v>343173.91</v>
      </c>
      <c r="F7" s="266">
        <v>343173.91</v>
      </c>
      <c r="G7" s="266">
        <f t="shared" si="1"/>
        <v>2449589.71</v>
      </c>
      <c r="H7" s="282">
        <v>1300</v>
      </c>
    </row>
    <row r="8" spans="1:8" x14ac:dyDescent="0.25">
      <c r="A8" s="281" t="s">
        <v>448</v>
      </c>
      <c r="B8" s="266">
        <v>4252125</v>
      </c>
      <c r="C8" s="266">
        <v>0</v>
      </c>
      <c r="D8" s="266">
        <f t="shared" si="0"/>
        <v>4252125</v>
      </c>
      <c r="E8" s="266">
        <v>664559.93999999994</v>
      </c>
      <c r="F8" s="266">
        <v>664559.93999999994</v>
      </c>
      <c r="G8" s="266">
        <f t="shared" si="1"/>
        <v>3587565.06</v>
      </c>
      <c r="H8" s="282">
        <v>1400</v>
      </c>
    </row>
    <row r="9" spans="1:8" x14ac:dyDescent="0.25">
      <c r="A9" s="281" t="s">
        <v>449</v>
      </c>
      <c r="B9" s="266">
        <v>1635000</v>
      </c>
      <c r="C9" s="266">
        <v>0</v>
      </c>
      <c r="D9" s="266">
        <f t="shared" si="0"/>
        <v>1635000</v>
      </c>
      <c r="E9" s="266">
        <v>219813</v>
      </c>
      <c r="F9" s="266">
        <v>219813</v>
      </c>
      <c r="G9" s="266">
        <f t="shared" si="1"/>
        <v>1415187</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12238300</v>
      </c>
      <c r="C12" s="283">
        <f>SUM(C13:C21)</f>
        <v>0</v>
      </c>
      <c r="D12" s="283">
        <f t="shared" si="0"/>
        <v>12238300</v>
      </c>
      <c r="E12" s="283">
        <f>SUM(E13:E21)</f>
        <v>2162309.2400000002</v>
      </c>
      <c r="F12" s="283">
        <f>SUM(F13:F21)</f>
        <v>2162309.2400000002</v>
      </c>
      <c r="G12" s="283">
        <f t="shared" si="1"/>
        <v>10075990.76</v>
      </c>
      <c r="H12" s="284">
        <v>0</v>
      </c>
    </row>
    <row r="13" spans="1:8" x14ac:dyDescent="0.25">
      <c r="A13" s="281" t="s">
        <v>452</v>
      </c>
      <c r="B13" s="266">
        <v>479300</v>
      </c>
      <c r="C13" s="266">
        <v>0</v>
      </c>
      <c r="D13" s="266">
        <f t="shared" si="0"/>
        <v>479300</v>
      </c>
      <c r="E13" s="266">
        <v>63621.52</v>
      </c>
      <c r="F13" s="266">
        <v>63621.52</v>
      </c>
      <c r="G13" s="266">
        <f t="shared" si="1"/>
        <v>415678.48</v>
      </c>
      <c r="H13" s="282">
        <v>2100</v>
      </c>
    </row>
    <row r="14" spans="1:8" x14ac:dyDescent="0.25">
      <c r="A14" s="281" t="s">
        <v>453</v>
      </c>
      <c r="B14" s="266">
        <v>23000</v>
      </c>
      <c r="C14" s="266">
        <v>0</v>
      </c>
      <c r="D14" s="266">
        <f t="shared" si="0"/>
        <v>23000</v>
      </c>
      <c r="E14" s="266">
        <v>0</v>
      </c>
      <c r="F14" s="266">
        <v>0</v>
      </c>
      <c r="G14" s="266">
        <f t="shared" si="1"/>
        <v>23000</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7601000</v>
      </c>
      <c r="C16" s="266">
        <v>0</v>
      </c>
      <c r="D16" s="266">
        <f t="shared" si="0"/>
        <v>7601000</v>
      </c>
      <c r="E16" s="266">
        <v>1169230.3400000001</v>
      </c>
      <c r="F16" s="266">
        <v>1169230.3400000001</v>
      </c>
      <c r="G16" s="266">
        <f t="shared" si="1"/>
        <v>6431769.6600000001</v>
      </c>
      <c r="H16" s="282">
        <v>2400</v>
      </c>
    </row>
    <row r="17" spans="1:8" x14ac:dyDescent="0.25">
      <c r="A17" s="281" t="s">
        <v>456</v>
      </c>
      <c r="B17" s="266">
        <v>717000</v>
      </c>
      <c r="C17" s="266">
        <v>0</v>
      </c>
      <c r="D17" s="266">
        <f t="shared" si="0"/>
        <v>717000</v>
      </c>
      <c r="E17" s="266">
        <v>65176.04</v>
      </c>
      <c r="F17" s="266">
        <v>65176.04</v>
      </c>
      <c r="G17" s="266">
        <f t="shared" si="1"/>
        <v>651823.96</v>
      </c>
      <c r="H17" s="282">
        <v>2500</v>
      </c>
    </row>
    <row r="18" spans="1:8" x14ac:dyDescent="0.25">
      <c r="A18" s="281" t="s">
        <v>457</v>
      </c>
      <c r="B18" s="266">
        <v>1779000</v>
      </c>
      <c r="C18" s="266">
        <v>0</v>
      </c>
      <c r="D18" s="266">
        <f t="shared" si="0"/>
        <v>1779000</v>
      </c>
      <c r="E18" s="266">
        <v>231653.02</v>
      </c>
      <c r="F18" s="266">
        <v>231653.02</v>
      </c>
      <c r="G18" s="266">
        <f t="shared" si="1"/>
        <v>1547346.98</v>
      </c>
      <c r="H18" s="282">
        <v>2600</v>
      </c>
    </row>
    <row r="19" spans="1:8" x14ac:dyDescent="0.25">
      <c r="A19" s="281" t="s">
        <v>458</v>
      </c>
      <c r="B19" s="266">
        <v>223000</v>
      </c>
      <c r="C19" s="266">
        <v>0</v>
      </c>
      <c r="D19" s="266">
        <f t="shared" si="0"/>
        <v>223000</v>
      </c>
      <c r="E19" s="266">
        <v>4627.53</v>
      </c>
      <c r="F19" s="266">
        <v>4627.53</v>
      </c>
      <c r="G19" s="266">
        <f t="shared" si="1"/>
        <v>218372.47</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1416000</v>
      </c>
      <c r="C21" s="266">
        <v>0</v>
      </c>
      <c r="D21" s="266">
        <f t="shared" si="0"/>
        <v>1416000</v>
      </c>
      <c r="E21" s="266">
        <v>628000.79</v>
      </c>
      <c r="F21" s="266">
        <v>628000.79</v>
      </c>
      <c r="G21" s="266">
        <f t="shared" si="1"/>
        <v>787999.21</v>
      </c>
      <c r="H21" s="282">
        <v>2900</v>
      </c>
    </row>
    <row r="22" spans="1:8" x14ac:dyDescent="0.25">
      <c r="A22" s="279" t="s">
        <v>125</v>
      </c>
      <c r="B22" s="283">
        <f>SUM(B23:B31)</f>
        <v>28230000</v>
      </c>
      <c r="C22" s="283">
        <f>SUM(C23:C31)</f>
        <v>1000000</v>
      </c>
      <c r="D22" s="283">
        <f t="shared" si="0"/>
        <v>29230000</v>
      </c>
      <c r="E22" s="283">
        <f>SUM(E23:E31)</f>
        <v>4969067.1499999994</v>
      </c>
      <c r="F22" s="283">
        <f>SUM(F23:F31)</f>
        <v>4969067.1499999994</v>
      </c>
      <c r="G22" s="283">
        <f t="shared" si="1"/>
        <v>24260932.850000001</v>
      </c>
      <c r="H22" s="284">
        <v>0</v>
      </c>
    </row>
    <row r="23" spans="1:8" x14ac:dyDescent="0.25">
      <c r="A23" s="281" t="s">
        <v>461</v>
      </c>
      <c r="B23" s="266">
        <v>19766000</v>
      </c>
      <c r="C23" s="266">
        <v>0</v>
      </c>
      <c r="D23" s="266">
        <f t="shared" si="0"/>
        <v>19766000</v>
      </c>
      <c r="E23" s="266">
        <v>3127184.65</v>
      </c>
      <c r="F23" s="266">
        <v>3127184.65</v>
      </c>
      <c r="G23" s="266">
        <f t="shared" si="1"/>
        <v>16638815.35</v>
      </c>
      <c r="H23" s="282">
        <v>3100</v>
      </c>
    </row>
    <row r="24" spans="1:8" x14ac:dyDescent="0.25">
      <c r="A24" s="281" t="s">
        <v>462</v>
      </c>
      <c r="B24" s="266">
        <v>43000</v>
      </c>
      <c r="C24" s="266">
        <v>0</v>
      </c>
      <c r="D24" s="266">
        <f t="shared" si="0"/>
        <v>43000</v>
      </c>
      <c r="E24" s="266">
        <v>0</v>
      </c>
      <c r="F24" s="266">
        <v>0</v>
      </c>
      <c r="G24" s="266">
        <f t="shared" si="1"/>
        <v>43000</v>
      </c>
      <c r="H24" s="282">
        <v>3200</v>
      </c>
    </row>
    <row r="25" spans="1:8" x14ac:dyDescent="0.25">
      <c r="A25" s="281" t="s">
        <v>463</v>
      </c>
      <c r="B25" s="266">
        <v>750000</v>
      </c>
      <c r="C25" s="266">
        <v>0</v>
      </c>
      <c r="D25" s="266">
        <f t="shared" si="0"/>
        <v>750000</v>
      </c>
      <c r="E25" s="266">
        <v>115618.29</v>
      </c>
      <c r="F25" s="266">
        <v>115618.29</v>
      </c>
      <c r="G25" s="266">
        <f t="shared" si="1"/>
        <v>634381.71</v>
      </c>
      <c r="H25" s="282">
        <v>3300</v>
      </c>
    </row>
    <row r="26" spans="1:8" x14ac:dyDescent="0.25">
      <c r="A26" s="281" t="s">
        <v>464</v>
      </c>
      <c r="B26" s="266">
        <v>336000</v>
      </c>
      <c r="C26" s="266">
        <v>0</v>
      </c>
      <c r="D26" s="266">
        <f t="shared" si="0"/>
        <v>336000</v>
      </c>
      <c r="E26" s="266">
        <v>37795.78</v>
      </c>
      <c r="F26" s="266">
        <v>37795.78</v>
      </c>
      <c r="G26" s="266">
        <f t="shared" si="1"/>
        <v>298204.21999999997</v>
      </c>
      <c r="H26" s="282">
        <v>3400</v>
      </c>
    </row>
    <row r="27" spans="1:8" x14ac:dyDescent="0.25">
      <c r="A27" s="281" t="s">
        <v>465</v>
      </c>
      <c r="B27" s="266">
        <v>4755000</v>
      </c>
      <c r="C27" s="266">
        <v>1000000</v>
      </c>
      <c r="D27" s="266">
        <f t="shared" si="0"/>
        <v>5755000</v>
      </c>
      <c r="E27" s="266">
        <v>1178963.43</v>
      </c>
      <c r="F27" s="266">
        <v>1178963.43</v>
      </c>
      <c r="G27" s="266">
        <f t="shared" si="1"/>
        <v>4576036.57</v>
      </c>
      <c r="H27" s="282">
        <v>3500</v>
      </c>
    </row>
    <row r="28" spans="1:8" x14ac:dyDescent="0.25">
      <c r="A28" s="281" t="s">
        <v>466</v>
      </c>
      <c r="B28" s="266">
        <v>57000</v>
      </c>
      <c r="C28" s="266">
        <v>0</v>
      </c>
      <c r="D28" s="266">
        <f t="shared" si="0"/>
        <v>57000</v>
      </c>
      <c r="E28" s="266">
        <v>0</v>
      </c>
      <c r="F28" s="266">
        <v>0</v>
      </c>
      <c r="G28" s="266">
        <f t="shared" si="1"/>
        <v>57000</v>
      </c>
      <c r="H28" s="282">
        <v>3600</v>
      </c>
    </row>
    <row r="29" spans="1:8" x14ac:dyDescent="0.25">
      <c r="A29" s="281" t="s">
        <v>467</v>
      </c>
      <c r="B29" s="266">
        <v>53000</v>
      </c>
      <c r="C29" s="266">
        <v>0</v>
      </c>
      <c r="D29" s="266">
        <f t="shared" si="0"/>
        <v>53000</v>
      </c>
      <c r="E29" s="266">
        <v>0</v>
      </c>
      <c r="F29" s="266">
        <v>0</v>
      </c>
      <c r="G29" s="266">
        <f t="shared" si="1"/>
        <v>53000</v>
      </c>
      <c r="H29" s="282">
        <v>3700</v>
      </c>
    </row>
    <row r="30" spans="1:8" x14ac:dyDescent="0.25">
      <c r="A30" s="281" t="s">
        <v>468</v>
      </c>
      <c r="B30" s="266">
        <v>40000</v>
      </c>
      <c r="C30" s="266">
        <v>0</v>
      </c>
      <c r="D30" s="266">
        <f t="shared" si="0"/>
        <v>40000</v>
      </c>
      <c r="E30" s="266">
        <v>9600</v>
      </c>
      <c r="F30" s="266">
        <v>9600</v>
      </c>
      <c r="G30" s="266">
        <f t="shared" si="1"/>
        <v>30400</v>
      </c>
      <c r="H30" s="282">
        <v>3800</v>
      </c>
    </row>
    <row r="31" spans="1:8" x14ac:dyDescent="0.25">
      <c r="A31" s="281" t="s">
        <v>469</v>
      </c>
      <c r="B31" s="266">
        <v>2430000</v>
      </c>
      <c r="C31" s="266">
        <v>0</v>
      </c>
      <c r="D31" s="266">
        <f t="shared" si="0"/>
        <v>2430000</v>
      </c>
      <c r="E31" s="266">
        <v>499905</v>
      </c>
      <c r="F31" s="266">
        <v>499905</v>
      </c>
      <c r="G31" s="266">
        <f t="shared" si="1"/>
        <v>1930095</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4225000</v>
      </c>
      <c r="C42" s="283">
        <f>SUM(C43:C51)</f>
        <v>0</v>
      </c>
      <c r="D42" s="283">
        <f t="shared" si="0"/>
        <v>4225000</v>
      </c>
      <c r="E42" s="283">
        <f>SUM(E43:E51)</f>
        <v>879935.48</v>
      </c>
      <c r="F42" s="283">
        <f>SUM(F43:F51)</f>
        <v>879935.48</v>
      </c>
      <c r="G42" s="283">
        <f t="shared" si="1"/>
        <v>3345064.52</v>
      </c>
      <c r="H42" s="284">
        <v>0</v>
      </c>
    </row>
    <row r="43" spans="1:8" x14ac:dyDescent="0.25">
      <c r="A43" s="285" t="s">
        <v>472</v>
      </c>
      <c r="B43" s="266">
        <v>1480000</v>
      </c>
      <c r="C43" s="266">
        <v>0</v>
      </c>
      <c r="D43" s="266">
        <f t="shared" si="0"/>
        <v>1480000</v>
      </c>
      <c r="E43" s="266">
        <v>677255.48</v>
      </c>
      <c r="F43" s="266">
        <v>677255.48</v>
      </c>
      <c r="G43" s="266">
        <f t="shared" si="1"/>
        <v>802744.52</v>
      </c>
      <c r="H43" s="282">
        <v>5100</v>
      </c>
    </row>
    <row r="44" spans="1:8" x14ac:dyDescent="0.25">
      <c r="A44" s="281" t="s">
        <v>473</v>
      </c>
      <c r="B44" s="266">
        <v>0</v>
      </c>
      <c r="C44" s="266">
        <v>0</v>
      </c>
      <c r="D44" s="266">
        <f t="shared" si="0"/>
        <v>0</v>
      </c>
      <c r="E44" s="266">
        <v>0</v>
      </c>
      <c r="F44" s="266">
        <v>0</v>
      </c>
      <c r="G44" s="266">
        <f t="shared" si="1"/>
        <v>0</v>
      </c>
      <c r="H44" s="282">
        <v>5200</v>
      </c>
    </row>
    <row r="45" spans="1:8" x14ac:dyDescent="0.25">
      <c r="A45" s="281" t="s">
        <v>474</v>
      </c>
      <c r="B45" s="266">
        <v>0</v>
      </c>
      <c r="C45" s="266">
        <v>0</v>
      </c>
      <c r="D45" s="266">
        <f t="shared" si="0"/>
        <v>0</v>
      </c>
      <c r="E45" s="266">
        <v>0</v>
      </c>
      <c r="F45" s="266">
        <v>0</v>
      </c>
      <c r="G45" s="266">
        <f t="shared" si="1"/>
        <v>0</v>
      </c>
      <c r="H45" s="282">
        <v>5300</v>
      </c>
    </row>
    <row r="46" spans="1:8" x14ac:dyDescent="0.25">
      <c r="A46" s="281" t="s">
        <v>475</v>
      </c>
      <c r="B46" s="266">
        <v>1200000</v>
      </c>
      <c r="C46" s="266">
        <v>0</v>
      </c>
      <c r="D46" s="266">
        <f t="shared" si="0"/>
        <v>1200000</v>
      </c>
      <c r="E46" s="266">
        <v>0</v>
      </c>
      <c r="F46" s="266">
        <v>0</v>
      </c>
      <c r="G46" s="266">
        <f t="shared" si="1"/>
        <v>1200000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1545000</v>
      </c>
      <c r="C48" s="266">
        <v>0</v>
      </c>
      <c r="D48" s="266">
        <f t="shared" si="0"/>
        <v>1545000</v>
      </c>
      <c r="E48" s="266">
        <v>202680</v>
      </c>
      <c r="F48" s="266">
        <v>202680</v>
      </c>
      <c r="G48" s="266">
        <f t="shared" si="1"/>
        <v>1342320</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878786.75</v>
      </c>
      <c r="C52" s="283">
        <f>SUM(C53:C55)</f>
        <v>1829439.22</v>
      </c>
      <c r="D52" s="283">
        <f t="shared" si="0"/>
        <v>2708225.9699999997</v>
      </c>
      <c r="E52" s="283">
        <f>SUM(E53:E55)</f>
        <v>151000</v>
      </c>
      <c r="F52" s="283">
        <f>SUM(F53:F55)</f>
        <v>151000</v>
      </c>
      <c r="G52" s="283">
        <f t="shared" si="1"/>
        <v>2557225.9699999997</v>
      </c>
      <c r="H52" s="284">
        <v>0</v>
      </c>
    </row>
    <row r="53" spans="1:8" x14ac:dyDescent="0.25">
      <c r="A53" s="281" t="s">
        <v>480</v>
      </c>
      <c r="B53" s="266">
        <v>758786.75</v>
      </c>
      <c r="C53" s="266">
        <v>885532.34</v>
      </c>
      <c r="D53" s="266">
        <f t="shared" si="0"/>
        <v>1644319.0899999999</v>
      </c>
      <c r="E53" s="266">
        <v>0</v>
      </c>
      <c r="F53" s="266">
        <v>0</v>
      </c>
      <c r="G53" s="266">
        <f t="shared" si="1"/>
        <v>1644319.0899999999</v>
      </c>
      <c r="H53" s="282">
        <v>6100</v>
      </c>
    </row>
    <row r="54" spans="1:8" x14ac:dyDescent="0.25">
      <c r="A54" s="281" t="s">
        <v>481</v>
      </c>
      <c r="B54" s="266">
        <v>0</v>
      </c>
      <c r="C54" s="266">
        <v>0</v>
      </c>
      <c r="D54" s="266">
        <f t="shared" si="0"/>
        <v>0</v>
      </c>
      <c r="E54" s="266">
        <v>0</v>
      </c>
      <c r="F54" s="266">
        <v>0</v>
      </c>
      <c r="G54" s="266">
        <f t="shared" si="1"/>
        <v>0</v>
      </c>
      <c r="H54" s="282">
        <v>6200</v>
      </c>
    </row>
    <row r="55" spans="1:8" x14ac:dyDescent="0.25">
      <c r="A55" s="281" t="s">
        <v>482</v>
      </c>
      <c r="B55" s="266">
        <v>120000</v>
      </c>
      <c r="C55" s="266">
        <v>943906.88</v>
      </c>
      <c r="D55" s="266">
        <f t="shared" si="0"/>
        <v>1063906.8799999999</v>
      </c>
      <c r="E55" s="266">
        <v>151000</v>
      </c>
      <c r="F55" s="266">
        <v>151000</v>
      </c>
      <c r="G55" s="266">
        <f t="shared" si="1"/>
        <v>912906.87999999989</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1800000</v>
      </c>
      <c r="D64" s="283">
        <f t="shared" si="0"/>
        <v>1800000</v>
      </c>
      <c r="E64" s="283">
        <f>SUM(E65:E67)</f>
        <v>0</v>
      </c>
      <c r="F64" s="283">
        <f>SUM(F65:F67)</f>
        <v>0</v>
      </c>
      <c r="G64" s="283">
        <f t="shared" si="1"/>
        <v>1800000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1800000</v>
      </c>
      <c r="D67" s="266">
        <f t="shared" si="0"/>
        <v>1800000</v>
      </c>
      <c r="E67" s="266">
        <v>0</v>
      </c>
      <c r="F67" s="266">
        <v>0</v>
      </c>
      <c r="G67" s="266">
        <f t="shared" si="1"/>
        <v>1800000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67940822</v>
      </c>
      <c r="C76" s="278">
        <f t="shared" si="4"/>
        <v>4629439.22</v>
      </c>
      <c r="D76" s="278">
        <f t="shared" si="4"/>
        <v>72570261.219999999</v>
      </c>
      <c r="E76" s="278">
        <f t="shared" si="4"/>
        <v>12216006.68</v>
      </c>
      <c r="F76" s="278">
        <f t="shared" si="4"/>
        <v>12216006.68</v>
      </c>
      <c r="G76" s="278">
        <f t="shared" si="4"/>
        <v>60354254.540000007</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689</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0</v>
      </c>
      <c r="C5" s="283">
        <f t="shared" si="0"/>
        <v>0</v>
      </c>
      <c r="D5" s="283">
        <f t="shared" si="0"/>
        <v>0</v>
      </c>
      <c r="E5" s="283">
        <f t="shared" si="0"/>
        <v>0</v>
      </c>
      <c r="F5" s="283">
        <f t="shared" si="0"/>
        <v>0</v>
      </c>
      <c r="G5" s="283">
        <f t="shared" si="0"/>
        <v>0</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0</v>
      </c>
      <c r="C8" s="266">
        <v>0</v>
      </c>
      <c r="D8" s="266">
        <f t="shared" si="1"/>
        <v>0</v>
      </c>
      <c r="E8" s="266">
        <v>0</v>
      </c>
      <c r="F8" s="266">
        <v>0</v>
      </c>
      <c r="G8" s="266">
        <f t="shared" si="2"/>
        <v>0</v>
      </c>
    </row>
    <row r="9" spans="1:7" x14ac:dyDescent="0.25">
      <c r="A9" s="288" t="s">
        <v>498</v>
      </c>
      <c r="B9" s="266">
        <v>0</v>
      </c>
      <c r="C9" s="266">
        <v>0</v>
      </c>
      <c r="D9" s="266">
        <f t="shared" si="1"/>
        <v>0</v>
      </c>
      <c r="E9" s="266">
        <v>0</v>
      </c>
      <c r="F9" s="266">
        <v>0</v>
      </c>
      <c r="G9" s="266">
        <f t="shared" si="2"/>
        <v>0</v>
      </c>
    </row>
    <row r="10" spans="1:7" x14ac:dyDescent="0.25">
      <c r="A10" s="288" t="s">
        <v>499</v>
      </c>
      <c r="B10" s="266">
        <v>0</v>
      </c>
      <c r="C10" s="266">
        <v>0</v>
      </c>
      <c r="D10" s="266">
        <f t="shared" si="1"/>
        <v>0</v>
      </c>
      <c r="E10" s="266">
        <v>0</v>
      </c>
      <c r="F10" s="266">
        <v>0</v>
      </c>
      <c r="G10" s="266">
        <f t="shared" si="2"/>
        <v>0</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67940822</v>
      </c>
      <c r="C15" s="283">
        <f t="shared" si="3"/>
        <v>4629439.22</v>
      </c>
      <c r="D15" s="283">
        <f t="shared" si="3"/>
        <v>72570261.219999999</v>
      </c>
      <c r="E15" s="283">
        <f t="shared" si="3"/>
        <v>12216006.68</v>
      </c>
      <c r="F15" s="283">
        <f t="shared" si="3"/>
        <v>12216006.68</v>
      </c>
      <c r="G15" s="283">
        <f t="shared" si="3"/>
        <v>60354254.539999999</v>
      </c>
    </row>
    <row r="16" spans="1:7" x14ac:dyDescent="0.25">
      <c r="A16" s="288" t="s">
        <v>503</v>
      </c>
      <c r="B16" s="266">
        <v>67940822</v>
      </c>
      <c r="C16" s="266">
        <v>4629439.22</v>
      </c>
      <c r="D16" s="266">
        <f>B16+C16</f>
        <v>72570261.219999999</v>
      </c>
      <c r="E16" s="266">
        <v>12216006.68</v>
      </c>
      <c r="F16" s="266">
        <v>12216006.68</v>
      </c>
      <c r="G16" s="266">
        <f t="shared" ref="G16:G22" si="4">D16-E16</f>
        <v>60354254.539999999</v>
      </c>
    </row>
    <row r="17" spans="1:7" x14ac:dyDescent="0.25">
      <c r="A17" s="288" t="s">
        <v>504</v>
      </c>
      <c r="B17" s="266">
        <v>0</v>
      </c>
      <c r="C17" s="266">
        <v>0</v>
      </c>
      <c r="D17" s="266">
        <f t="shared" ref="D17:D22" si="5">B17+C17</f>
        <v>0</v>
      </c>
      <c r="E17" s="266">
        <v>0</v>
      </c>
      <c r="F17" s="266">
        <v>0</v>
      </c>
      <c r="G17" s="266">
        <f t="shared" si="4"/>
        <v>0</v>
      </c>
    </row>
    <row r="18" spans="1:7" ht="10.15" customHeight="1" x14ac:dyDescent="0.25">
      <c r="A18" s="288" t="s">
        <v>505</v>
      </c>
      <c r="B18" s="266">
        <v>0</v>
      </c>
      <c r="C18" s="266">
        <v>0</v>
      </c>
      <c r="D18" s="266">
        <f t="shared" si="5"/>
        <v>0</v>
      </c>
      <c r="E18" s="266">
        <v>0</v>
      </c>
      <c r="F18" s="266">
        <v>0</v>
      </c>
      <c r="G18" s="266">
        <f t="shared" si="4"/>
        <v>0</v>
      </c>
    </row>
    <row r="19" spans="1:7" x14ac:dyDescent="0.25">
      <c r="A19" s="288" t="s">
        <v>506</v>
      </c>
      <c r="B19" s="266">
        <v>0</v>
      </c>
      <c r="C19" s="266">
        <v>0</v>
      </c>
      <c r="D19" s="266">
        <f t="shared" si="5"/>
        <v>0</v>
      </c>
      <c r="E19" s="266">
        <v>0</v>
      </c>
      <c r="F19" s="266">
        <v>0</v>
      </c>
      <c r="G19" s="266">
        <f t="shared" si="4"/>
        <v>0</v>
      </c>
    </row>
    <row r="20" spans="1:7" x14ac:dyDescent="0.25">
      <c r="A20" s="288" t="s">
        <v>507</v>
      </c>
      <c r="B20" s="266">
        <v>0</v>
      </c>
      <c r="C20" s="266">
        <v>0</v>
      </c>
      <c r="D20" s="266">
        <f t="shared" si="5"/>
        <v>0</v>
      </c>
      <c r="E20" s="266">
        <v>0</v>
      </c>
      <c r="F20" s="266">
        <v>0</v>
      </c>
      <c r="G20" s="266">
        <f t="shared" si="4"/>
        <v>0</v>
      </c>
    </row>
    <row r="21" spans="1:7" x14ac:dyDescent="0.25">
      <c r="A21" s="288" t="s">
        <v>508</v>
      </c>
      <c r="B21" s="266">
        <v>0</v>
      </c>
      <c r="C21" s="266">
        <v>0</v>
      </c>
      <c r="D21" s="266">
        <f t="shared" si="5"/>
        <v>0</v>
      </c>
      <c r="E21" s="266">
        <v>0</v>
      </c>
      <c r="F21" s="266">
        <v>0</v>
      </c>
      <c r="G21" s="266">
        <f t="shared" si="4"/>
        <v>0</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67940822</v>
      </c>
      <c r="C41" s="268">
        <f t="shared" si="12"/>
        <v>4629439.22</v>
      </c>
      <c r="D41" s="268">
        <f t="shared" si="12"/>
        <v>72570261.219999999</v>
      </c>
      <c r="E41" s="268">
        <f t="shared" si="12"/>
        <v>12216006.68</v>
      </c>
      <c r="F41" s="268">
        <f t="shared" si="12"/>
        <v>12216006.68</v>
      </c>
      <c r="G41" s="268">
        <f t="shared" si="12"/>
        <v>60354254.539999999</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695</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693</v>
      </c>
      <c r="B14" s="293"/>
      <c r="C14" s="293"/>
      <c r="D14" s="293">
        <f>+B14-C14</f>
        <v>0</v>
      </c>
    </row>
    <row r="15" spans="1:4" x14ac:dyDescent="0.25">
      <c r="A15" s="292" t="s">
        <v>694</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696</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691</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899999999999999" customHeight="1" x14ac:dyDescent="0.2">
      <c r="A6" s="427" t="s">
        <v>538</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639</v>
      </c>
      <c r="B7" s="266">
        <v>0</v>
      </c>
      <c r="C7" s="266">
        <v>0</v>
      </c>
      <c r="D7" s="425">
        <f>B7+C7</f>
        <v>0</v>
      </c>
      <c r="E7" s="266">
        <v>0</v>
      </c>
      <c r="F7" s="266">
        <v>0</v>
      </c>
      <c r="G7" s="425">
        <f>D7-E7</f>
        <v>0</v>
      </c>
      <c r="H7" s="434" t="s">
        <v>539</v>
      </c>
    </row>
    <row r="8" spans="1:8" ht="13.9"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58685849.270000003</v>
      </c>
      <c r="C9" s="283">
        <f t="shared" ref="C9:G9" si="3">SUM(C10:C12)</f>
        <v>4629439.2200000007</v>
      </c>
      <c r="D9" s="283">
        <f t="shared" si="3"/>
        <v>63315288.490000002</v>
      </c>
      <c r="E9" s="283">
        <f t="shared" si="3"/>
        <v>10526088.5</v>
      </c>
      <c r="F9" s="283">
        <f t="shared" si="3"/>
        <v>10526088.5</v>
      </c>
      <c r="G9" s="283">
        <f t="shared" si="3"/>
        <v>52789199.990000002</v>
      </c>
      <c r="H9" s="434">
        <v>0</v>
      </c>
    </row>
    <row r="10" spans="1:8" ht="10.15" customHeight="1" x14ac:dyDescent="0.2">
      <c r="A10" s="430" t="s">
        <v>543</v>
      </c>
      <c r="B10" s="266">
        <v>0</v>
      </c>
      <c r="C10" s="266">
        <v>0</v>
      </c>
      <c r="D10" s="425">
        <f t="shared" si="1"/>
        <v>0</v>
      </c>
      <c r="E10" s="266">
        <v>0</v>
      </c>
      <c r="F10" s="266">
        <v>0</v>
      </c>
      <c r="G10" s="425">
        <f t="shared" si="2"/>
        <v>0</v>
      </c>
      <c r="H10" s="434" t="s">
        <v>544</v>
      </c>
    </row>
    <row r="11" spans="1:8" ht="10.15" customHeight="1" x14ac:dyDescent="0.2">
      <c r="A11" s="430" t="s">
        <v>541</v>
      </c>
      <c r="B11" s="266">
        <v>57807062.520000003</v>
      </c>
      <c r="C11" s="266">
        <v>1000000</v>
      </c>
      <c r="D11" s="425">
        <f t="shared" si="1"/>
        <v>58807062.520000003</v>
      </c>
      <c r="E11" s="266">
        <v>10375088.5</v>
      </c>
      <c r="F11" s="266">
        <v>10375088.5</v>
      </c>
      <c r="G11" s="425">
        <f t="shared" si="2"/>
        <v>48431974.020000003</v>
      </c>
      <c r="H11" s="434" t="s">
        <v>542</v>
      </c>
    </row>
    <row r="12" spans="1:8" ht="10.15" customHeight="1" x14ac:dyDescent="0.2">
      <c r="A12" s="430" t="s">
        <v>642</v>
      </c>
      <c r="B12" s="266">
        <v>878786.75</v>
      </c>
      <c r="C12" s="266">
        <v>3629439.22</v>
      </c>
      <c r="D12" s="425">
        <f t="shared" si="1"/>
        <v>4508225.9700000007</v>
      </c>
      <c r="E12" s="266">
        <v>151000</v>
      </c>
      <c r="F12" s="266">
        <v>151000</v>
      </c>
      <c r="G12" s="425">
        <f t="shared" si="2"/>
        <v>4357225.9700000007</v>
      </c>
      <c r="H12" s="434" t="s">
        <v>551</v>
      </c>
    </row>
    <row r="13" spans="1:8" x14ac:dyDescent="0.2">
      <c r="A13" s="427" t="s">
        <v>643</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644</v>
      </c>
      <c r="B14" s="266">
        <v>0</v>
      </c>
      <c r="C14" s="266">
        <v>0</v>
      </c>
      <c r="D14" s="425">
        <f t="shared" si="1"/>
        <v>0</v>
      </c>
      <c r="E14" s="266">
        <v>0</v>
      </c>
      <c r="F14" s="266">
        <v>0</v>
      </c>
      <c r="G14" s="425">
        <f t="shared" si="2"/>
        <v>0</v>
      </c>
      <c r="H14" s="434" t="s">
        <v>549</v>
      </c>
    </row>
    <row r="15" spans="1:8" ht="10.15"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0</v>
      </c>
      <c r="C16" s="266">
        <v>0</v>
      </c>
      <c r="D16" s="425">
        <f t="shared" si="1"/>
        <v>0</v>
      </c>
      <c r="E16" s="266">
        <v>0</v>
      </c>
      <c r="F16" s="266">
        <v>0</v>
      </c>
      <c r="G16" s="425">
        <f t="shared" si="2"/>
        <v>0</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0</v>
      </c>
      <c r="C18" s="266">
        <v>0</v>
      </c>
      <c r="D18" s="425">
        <f t="shared" si="1"/>
        <v>0</v>
      </c>
      <c r="E18" s="266">
        <v>0</v>
      </c>
      <c r="F18" s="266">
        <v>0</v>
      </c>
      <c r="G18" s="425">
        <f t="shared" si="2"/>
        <v>0</v>
      </c>
      <c r="H18" s="434" t="s">
        <v>545</v>
      </c>
    </row>
    <row r="19" spans="1:8" ht="10.15" customHeight="1" x14ac:dyDescent="0.2">
      <c r="A19" s="430" t="s">
        <v>648</v>
      </c>
      <c r="B19" s="266">
        <v>0</v>
      </c>
      <c r="C19" s="266">
        <v>0</v>
      </c>
      <c r="D19" s="425">
        <f t="shared" si="1"/>
        <v>0</v>
      </c>
      <c r="E19" s="266">
        <v>0</v>
      </c>
      <c r="F19" s="266">
        <v>0</v>
      </c>
      <c r="G19" s="425">
        <f t="shared" si="2"/>
        <v>0</v>
      </c>
      <c r="H19" s="434" t="s">
        <v>662</v>
      </c>
    </row>
    <row r="20" spans="1:8" ht="10.15"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9254972.7300000004</v>
      </c>
      <c r="C21" s="283">
        <f t="shared" ref="C21:G21" si="5">+SUM(C22:C25)</f>
        <v>0</v>
      </c>
      <c r="D21" s="283">
        <f t="shared" si="5"/>
        <v>9254972.7300000004</v>
      </c>
      <c r="E21" s="283">
        <f t="shared" si="5"/>
        <v>1689918.18</v>
      </c>
      <c r="F21" s="283">
        <f t="shared" si="5"/>
        <v>1689918.18</v>
      </c>
      <c r="G21" s="283">
        <f t="shared" si="5"/>
        <v>7565054.5500000007</v>
      </c>
      <c r="H21" s="434">
        <v>0</v>
      </c>
    </row>
    <row r="22" spans="1:8" x14ac:dyDescent="0.2">
      <c r="A22" s="430" t="s">
        <v>651</v>
      </c>
      <c r="B22" s="266">
        <v>9254972.7300000004</v>
      </c>
      <c r="C22" s="266">
        <v>0</v>
      </c>
      <c r="D22" s="425">
        <f t="shared" si="1"/>
        <v>9254972.7300000004</v>
      </c>
      <c r="E22" s="266">
        <v>1689918.18</v>
      </c>
      <c r="F22" s="266">
        <v>1689918.18</v>
      </c>
      <c r="G22" s="425">
        <f t="shared" si="2"/>
        <v>7565054.5500000007</v>
      </c>
      <c r="H22" s="434" t="s">
        <v>552</v>
      </c>
    </row>
    <row r="23" spans="1:8" ht="10.15" customHeight="1" x14ac:dyDescent="0.2">
      <c r="A23" s="430" t="s">
        <v>652</v>
      </c>
      <c r="B23" s="266">
        <v>0</v>
      </c>
      <c r="C23" s="266">
        <v>0</v>
      </c>
      <c r="D23" s="425">
        <f t="shared" si="1"/>
        <v>0</v>
      </c>
      <c r="E23" s="266">
        <v>0</v>
      </c>
      <c r="F23" s="266">
        <v>0</v>
      </c>
      <c r="G23" s="425">
        <f t="shared" si="2"/>
        <v>0</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15" customHeight="1" x14ac:dyDescent="0.2">
      <c r="A26" s="427" t="s">
        <v>654</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655</v>
      </c>
      <c r="B27" s="266">
        <v>0</v>
      </c>
      <c r="C27" s="266">
        <v>0</v>
      </c>
      <c r="D27" s="425">
        <f t="shared" si="1"/>
        <v>0</v>
      </c>
      <c r="E27" s="266">
        <v>0</v>
      </c>
      <c r="F27" s="266">
        <v>0</v>
      </c>
      <c r="G27" s="425">
        <f t="shared" si="2"/>
        <v>0</v>
      </c>
      <c r="H27" s="434" t="s">
        <v>568</v>
      </c>
    </row>
    <row r="28" spans="1:8" ht="10.15" customHeight="1" x14ac:dyDescent="0.2">
      <c r="A28" s="430" t="s">
        <v>656</v>
      </c>
      <c r="B28" s="266">
        <v>0</v>
      </c>
      <c r="C28" s="266">
        <v>0</v>
      </c>
      <c r="D28" s="425">
        <f t="shared" si="1"/>
        <v>0</v>
      </c>
      <c r="E28" s="266">
        <v>0</v>
      </c>
      <c r="F28" s="266">
        <v>0</v>
      </c>
      <c r="G28" s="425">
        <f t="shared" si="2"/>
        <v>0</v>
      </c>
      <c r="H28" s="434" t="s">
        <v>569</v>
      </c>
    </row>
    <row r="29" spans="1:8" ht="10.15"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0</v>
      </c>
      <c r="C31" s="266">
        <v>0</v>
      </c>
      <c r="D31" s="425">
        <f t="shared" si="1"/>
        <v>0</v>
      </c>
      <c r="E31" s="266">
        <v>0</v>
      </c>
      <c r="F31" s="266">
        <v>0</v>
      </c>
      <c r="G31" s="425">
        <f t="shared" si="2"/>
        <v>0</v>
      </c>
      <c r="H31" s="434" t="s">
        <v>560</v>
      </c>
    </row>
    <row r="32" spans="1:8" ht="13.9" customHeight="1" x14ac:dyDescent="0.2">
      <c r="A32" s="430" t="s">
        <v>556</v>
      </c>
      <c r="B32" s="266">
        <v>0</v>
      </c>
      <c r="C32" s="266">
        <v>0</v>
      </c>
      <c r="D32" s="425">
        <f t="shared" si="1"/>
        <v>0</v>
      </c>
      <c r="E32" s="266">
        <v>0</v>
      </c>
      <c r="F32" s="266">
        <v>0</v>
      </c>
      <c r="G32" s="425">
        <f t="shared" si="2"/>
        <v>0</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
      <c r="A37" s="426" t="s">
        <v>428</v>
      </c>
      <c r="B37" s="268">
        <f>B6+B9+B13+B21+B26</f>
        <v>67940822</v>
      </c>
      <c r="C37" s="268">
        <f t="shared" ref="C37:G37" si="7">C6+C9+C13+C21+C26</f>
        <v>4629439.2200000007</v>
      </c>
      <c r="D37" s="268">
        <f t="shared" si="7"/>
        <v>72570261.219999999</v>
      </c>
      <c r="E37" s="268">
        <f t="shared" si="7"/>
        <v>12216006.68</v>
      </c>
      <c r="F37" s="268">
        <f t="shared" si="7"/>
        <v>12216006.68</v>
      </c>
      <c r="G37" s="268">
        <f t="shared" si="7"/>
        <v>60354254.540000007</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679</v>
      </c>
      <c r="B1" s="515"/>
      <c r="C1" s="515"/>
      <c r="D1" s="515"/>
      <c r="E1" s="515"/>
      <c r="F1" s="515"/>
      <c r="G1" s="318" t="s">
        <v>0</v>
      </c>
      <c r="H1" s="319">
        <v>2026</v>
      </c>
    </row>
    <row r="2" spans="1:10" ht="18.95" customHeight="1" x14ac:dyDescent="0.2">
      <c r="A2" s="514" t="s">
        <v>571</v>
      </c>
      <c r="B2" s="515"/>
      <c r="C2" s="515"/>
      <c r="D2" s="515"/>
      <c r="E2" s="515"/>
      <c r="F2" s="515"/>
      <c r="G2" s="318" t="s">
        <v>2</v>
      </c>
      <c r="H2" s="319" t="s">
        <v>3</v>
      </c>
    </row>
    <row r="3" spans="1:10" ht="18.95" customHeight="1" x14ac:dyDescent="0.2">
      <c r="A3" s="511" t="s">
        <v>697</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67940822</v>
      </c>
      <c r="D41" s="328"/>
      <c r="E41" s="328"/>
      <c r="F41" s="328"/>
    </row>
    <row r="42" spans="1:6" x14ac:dyDescent="0.2">
      <c r="A42" s="320">
        <v>8120</v>
      </c>
      <c r="B42" s="331" t="s">
        <v>609</v>
      </c>
      <c r="C42" s="332">
        <v>-50322399.340000004</v>
      </c>
      <c r="D42" s="328"/>
      <c r="E42" s="328"/>
      <c r="F42" s="328"/>
    </row>
    <row r="43" spans="1:6" x14ac:dyDescent="0.2">
      <c r="A43" s="320">
        <v>8130</v>
      </c>
      <c r="B43" s="331" t="s">
        <v>610</v>
      </c>
      <c r="C43" s="332">
        <v>0</v>
      </c>
      <c r="D43" s="328"/>
      <c r="E43" s="328"/>
      <c r="F43" s="328"/>
    </row>
    <row r="44" spans="1:6" x14ac:dyDescent="0.2">
      <c r="A44" s="320">
        <v>8140</v>
      </c>
      <c r="B44" s="331" t="s">
        <v>611</v>
      </c>
      <c r="C44" s="332">
        <v>0</v>
      </c>
      <c r="D44" s="328"/>
      <c r="E44" s="328"/>
      <c r="F44" s="328"/>
    </row>
    <row r="45" spans="1:6" x14ac:dyDescent="0.2">
      <c r="A45" s="320">
        <v>8150</v>
      </c>
      <c r="B45" s="331" t="s">
        <v>612</v>
      </c>
      <c r="C45" s="332">
        <v>-17618422.66</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-67940822</v>
      </c>
    </row>
    <row r="51" spans="1:3" x14ac:dyDescent="0.2">
      <c r="A51" s="320">
        <v>8220</v>
      </c>
      <c r="B51" s="331" t="s">
        <v>615</v>
      </c>
      <c r="C51" s="338">
        <v>24746976.800000001</v>
      </c>
    </row>
    <row r="52" spans="1:3" x14ac:dyDescent="0.2">
      <c r="A52" s="320">
        <v>8230</v>
      </c>
      <c r="B52" s="331" t="s">
        <v>616</v>
      </c>
      <c r="C52" s="338">
        <v>-4629439.22</v>
      </c>
    </row>
    <row r="53" spans="1:3" x14ac:dyDescent="0.2">
      <c r="A53" s="320">
        <v>8240</v>
      </c>
      <c r="B53" s="331" t="s">
        <v>617</v>
      </c>
      <c r="C53" s="338">
        <v>35607277.740000002</v>
      </c>
    </row>
    <row r="54" spans="1:3" x14ac:dyDescent="0.2">
      <c r="A54" s="320">
        <v>8250</v>
      </c>
      <c r="B54" s="331" t="s">
        <v>618</v>
      </c>
      <c r="C54" s="338">
        <v>0</v>
      </c>
    </row>
    <row r="55" spans="1:3" x14ac:dyDescent="0.2">
      <c r="A55" s="320">
        <v>8260</v>
      </c>
      <c r="B55" s="331" t="s">
        <v>619</v>
      </c>
      <c r="C55" s="338">
        <v>0</v>
      </c>
    </row>
    <row r="56" spans="1:3" x14ac:dyDescent="0.2">
      <c r="A56" s="320">
        <v>8270</v>
      </c>
      <c r="B56" s="331" t="s">
        <v>620</v>
      </c>
      <c r="C56" s="338">
        <v>12216006.68</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abSelected="1" topLeftCell="A84" zoomScaleNormal="100" workbookViewId="0">
      <selection activeCell="P21" sqref="P21"/>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679</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680</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6007740.0899999999</v>
      </c>
      <c r="E7" s="196" t="s">
        <v>272</v>
      </c>
      <c r="F7" s="358">
        <f>IF(ESF!E36&gt;0,ESF!E36,ESF!E36*-1)</f>
        <v>6007740.0899999999</v>
      </c>
      <c r="G7" s="382">
        <f>ROUND(D7-F7,2)</f>
        <v>0</v>
      </c>
      <c r="H7" s="84" t="s">
        <v>282</v>
      </c>
      <c r="I7" s="369">
        <f>IF(ACT!C66&gt;0,ACT!C66,ACT!C66*-1)</f>
        <v>7960638.2300000042</v>
      </c>
      <c r="J7" s="85" t="s">
        <v>272</v>
      </c>
      <c r="K7" s="375">
        <f>IF(ESF!F36&gt;0,ESF!F36,ESF!F36*-1)</f>
        <v>7960638.2300000004</v>
      </c>
      <c r="L7" s="377">
        <f>ROUND(I7-K7,2)</f>
        <v>0</v>
      </c>
      <c r="M7" s="136" t="s">
        <v>203</v>
      </c>
    </row>
    <row r="8" spans="1:13" ht="12" thickBot="1" x14ac:dyDescent="0.25">
      <c r="A8" s="72" t="s">
        <v>12</v>
      </c>
      <c r="B8" s="171" t="s">
        <v>203</v>
      </c>
      <c r="C8" s="86" t="s">
        <v>283</v>
      </c>
      <c r="D8" s="358">
        <f>IF(ACT!B66&gt;0,ACT!B66,ACT!B66*-1)</f>
        <v>6007740.0899999999</v>
      </c>
      <c r="E8" s="87" t="s">
        <v>286</v>
      </c>
      <c r="F8" s="364">
        <f>IF(VHP!D28&gt;0,VHP!D28,VHP!D28*-1)</f>
        <v>6007740.0899999999</v>
      </c>
      <c r="G8" s="383">
        <f>ROUND(D8-F8,2)</f>
        <v>0</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7960638.2300000042</v>
      </c>
      <c r="J9" s="91" t="s">
        <v>286</v>
      </c>
      <c r="K9" s="370">
        <f>IF(VHP!D10&gt;0,VHP!D10,VHP!D10*-1)</f>
        <v>7960638.2300000004</v>
      </c>
      <c r="L9" s="378">
        <f>ROUND(I9-K9,2)</f>
        <v>0</v>
      </c>
      <c r="M9" s="137" t="s">
        <v>203</v>
      </c>
    </row>
    <row r="10" spans="1:13" ht="12" thickBot="1" x14ac:dyDescent="0.25">
      <c r="A10" s="72" t="s">
        <v>17</v>
      </c>
      <c r="B10" s="171" t="s">
        <v>203</v>
      </c>
      <c r="C10" s="92"/>
      <c r="D10" s="93"/>
      <c r="E10" s="94" t="s">
        <v>286</v>
      </c>
      <c r="F10" s="364">
        <f>IF(VHP!D29&gt;0,VHP!D29,VHP!D29*-1)</f>
        <v>7960638.2300000004</v>
      </c>
      <c r="G10" s="95"/>
      <c r="H10" s="90" t="s">
        <v>282</v>
      </c>
      <c r="I10" s="369">
        <f>IF(ACT!C66&gt;0,ACT!C66,ACT!C66*-1)</f>
        <v>7960638.2300000042</v>
      </c>
      <c r="J10" s="96"/>
      <c r="K10" s="97"/>
      <c r="L10" s="378">
        <f>ROUND(F10-I10,2)</f>
        <v>0</v>
      </c>
      <c r="M10" s="137" t="s">
        <v>203</v>
      </c>
    </row>
    <row r="11" spans="1:13" ht="12" thickBot="1" x14ac:dyDescent="0.25">
      <c r="A11" s="72" t="s">
        <v>19</v>
      </c>
      <c r="B11" s="171" t="s">
        <v>203</v>
      </c>
      <c r="C11" s="90" t="s">
        <v>272</v>
      </c>
      <c r="D11" s="359">
        <f>IF(ESF!E36&gt;0,ESF!E36,ESF!E36*-1)</f>
        <v>6007740.0899999999</v>
      </c>
      <c r="E11" s="98" t="s">
        <v>282</v>
      </c>
      <c r="F11" s="365">
        <f>IF(ACT!B66&gt;0,ACT!B66,ACT!B66*-1)</f>
        <v>6007740.0899999999</v>
      </c>
      <c r="G11" s="384">
        <f t="shared" ref="G11:G28" si="0">ROUND(D11-F11,2)</f>
        <v>0</v>
      </c>
      <c r="H11" s="90" t="s">
        <v>272</v>
      </c>
      <c r="I11" s="371">
        <f>IF(ESF!F36&gt;0,ESF!F36,ESF!F36*-1)</f>
        <v>7960638.2300000004</v>
      </c>
      <c r="J11" s="91" t="s">
        <v>282</v>
      </c>
      <c r="K11" s="370">
        <f>IF(ACT!C66&gt;0,ACT!C66,ACT!C66*-1)</f>
        <v>7960638.2300000042</v>
      </c>
      <c r="L11" s="378">
        <f>ROUND(I11-K11,2)</f>
        <v>0</v>
      </c>
      <c r="M11" s="137" t="s">
        <v>203</v>
      </c>
    </row>
    <row r="12" spans="1:13" x14ac:dyDescent="0.2">
      <c r="A12" s="73" t="s">
        <v>22</v>
      </c>
      <c r="B12" s="173" t="s">
        <v>160</v>
      </c>
      <c r="C12" s="99" t="s">
        <v>272</v>
      </c>
      <c r="D12" s="360">
        <f>IF(ESF!B5&gt;0,ESF!B5,ESF!B5*-1)</f>
        <v>13867242.029999999</v>
      </c>
      <c r="E12" s="100" t="s">
        <v>273</v>
      </c>
      <c r="F12" s="366">
        <f>IF(EAA!E5&gt;0,EAA!E5,EAA!E5*-1)</f>
        <v>13867242.030000001</v>
      </c>
      <c r="G12" s="385">
        <f t="shared" si="0"/>
        <v>0</v>
      </c>
      <c r="H12" s="101" t="s">
        <v>272</v>
      </c>
      <c r="I12" s="372">
        <f>IF(ESF!C5&gt;0,ESF!C5,ESF!C5*-1)</f>
        <v>9591219.3900000006</v>
      </c>
      <c r="J12" s="102" t="s">
        <v>273</v>
      </c>
      <c r="K12" s="376">
        <f>IF(EAA!B5&gt;0,EAA!B5,EAA!B5*-1)</f>
        <v>9591219.3900000006</v>
      </c>
      <c r="L12" s="379">
        <f t="shared" ref="L12:L43" si="1">ROUND(I12-K12,2)</f>
        <v>0</v>
      </c>
      <c r="M12" s="138" t="s">
        <v>160</v>
      </c>
    </row>
    <row r="13" spans="1:13" x14ac:dyDescent="0.2">
      <c r="A13" s="74"/>
      <c r="B13" s="164" t="s">
        <v>162</v>
      </c>
      <c r="C13" s="103" t="s">
        <v>272</v>
      </c>
      <c r="D13" s="361">
        <f>IF(ESF!B6&gt;0,ESF!B6,ESF!B6*-1)</f>
        <v>28335060.050000001</v>
      </c>
      <c r="E13" s="104" t="s">
        <v>273</v>
      </c>
      <c r="F13" s="367">
        <f>IF(EAA!E6&gt;0,EAA!E6,EAA!E6*-1)</f>
        <v>28335060.050000001</v>
      </c>
      <c r="G13" s="386">
        <f t="shared" si="0"/>
        <v>0</v>
      </c>
      <c r="H13" s="105" t="s">
        <v>272</v>
      </c>
      <c r="I13" s="373">
        <f>IF(ESF!C6&gt;0,ESF!C6,ESF!C6*-1)</f>
        <v>27092325.649999999</v>
      </c>
      <c r="J13" s="94" t="s">
        <v>273</v>
      </c>
      <c r="K13" s="373">
        <f>IF(EAA!B6&gt;0,EAA!B6,EAA!B6*-1)</f>
        <v>27092325.649999999</v>
      </c>
      <c r="L13" s="380">
        <f t="shared" si="1"/>
        <v>0</v>
      </c>
      <c r="M13" s="139" t="s">
        <v>162</v>
      </c>
    </row>
    <row r="14" spans="1:13" x14ac:dyDescent="0.2">
      <c r="A14" s="74"/>
      <c r="B14" s="164" t="s">
        <v>164</v>
      </c>
      <c r="C14" s="103" t="s">
        <v>272</v>
      </c>
      <c r="D14" s="361">
        <f>IF(ESF!B7&gt;0,ESF!B7,ESF!B7*-1)</f>
        <v>0</v>
      </c>
      <c r="E14" s="104" t="s">
        <v>273</v>
      </c>
      <c r="F14" s="367">
        <f>IF(EAA!E7&gt;0,EAA!E7,EAA!E7*-1)</f>
        <v>0</v>
      </c>
      <c r="G14" s="386">
        <f t="shared" si="0"/>
        <v>0</v>
      </c>
      <c r="H14" s="105" t="s">
        <v>272</v>
      </c>
      <c r="I14" s="373">
        <f>IF(ESF!C7&gt;0,ESF!C7,ESF!C7*-1)</f>
        <v>0</v>
      </c>
      <c r="J14" s="94" t="s">
        <v>273</v>
      </c>
      <c r="K14" s="373">
        <f>IF(EAA!B7&gt;0,EAA!B7,EAA!B7*-1)</f>
        <v>0</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1476951.72</v>
      </c>
      <c r="E16" s="104" t="s">
        <v>273</v>
      </c>
      <c r="F16" s="367">
        <f>IF(EAA!E9&gt;0,EAA!E9,EAA!E9*-1)</f>
        <v>1476951.72</v>
      </c>
      <c r="G16" s="386">
        <f t="shared" si="0"/>
        <v>0</v>
      </c>
      <c r="H16" s="105" t="s">
        <v>272</v>
      </c>
      <c r="I16" s="373">
        <f>IF(ESF!C9&gt;0,ESF!C9,ESF!C9*-1)</f>
        <v>1167530.0900000001</v>
      </c>
      <c r="J16" s="94" t="s">
        <v>273</v>
      </c>
      <c r="K16" s="373">
        <f>IF(EAA!B9&gt;0,EAA!B9,EAA!B9*-1)</f>
        <v>1167530.0900000001</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47935.87</v>
      </c>
      <c r="E18" s="104" t="s">
        <v>273</v>
      </c>
      <c r="F18" s="367">
        <f>IF(EAA!E11&gt;0,EAA!E11,EAA!E11*-1)</f>
        <v>47935.87</v>
      </c>
      <c r="G18" s="386">
        <f t="shared" si="0"/>
        <v>0</v>
      </c>
      <c r="H18" s="105" t="s">
        <v>272</v>
      </c>
      <c r="I18" s="373">
        <f>IF(ESF!C11&gt;0,ESF!C11,ESF!C11*-1)</f>
        <v>47935.87</v>
      </c>
      <c r="J18" s="94" t="s">
        <v>273</v>
      </c>
      <c r="K18" s="373">
        <f>IF(EAA!B11&gt;0,EAA!B11,EAA!B11*-1)</f>
        <v>47935.87</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21393894.300000001</v>
      </c>
      <c r="E21" s="104" t="s">
        <v>273</v>
      </c>
      <c r="F21" s="367">
        <f>IF(EAA!E15&gt;0,EAA!E15,EAA!E15*-1)</f>
        <v>21393894.300000001</v>
      </c>
      <c r="G21" s="386">
        <f t="shared" si="0"/>
        <v>0</v>
      </c>
      <c r="H21" s="105" t="s">
        <v>272</v>
      </c>
      <c r="I21" s="373">
        <f>IF(ESF!C18&gt;0,ESF!C18,ESF!C18*-1)</f>
        <v>21393894.300000001</v>
      </c>
      <c r="J21" s="94" t="s">
        <v>273</v>
      </c>
      <c r="K21" s="373">
        <f>IF(EAA!B15&gt;0,EAA!B15,EAA!B15*-1)</f>
        <v>21393894.300000001</v>
      </c>
      <c r="L21" s="380">
        <f t="shared" si="1"/>
        <v>0</v>
      </c>
      <c r="M21" s="139" t="s">
        <v>182</v>
      </c>
    </row>
    <row r="22" spans="1:13" x14ac:dyDescent="0.2">
      <c r="A22" s="74"/>
      <c r="B22" s="164" t="s">
        <v>184</v>
      </c>
      <c r="C22" s="103" t="s">
        <v>272</v>
      </c>
      <c r="D22" s="361">
        <f>IF(ESF!B19&gt;0,ESF!B19,ESF!B19*-1)</f>
        <v>34201585.450000003</v>
      </c>
      <c r="E22" s="104" t="s">
        <v>273</v>
      </c>
      <c r="F22" s="367">
        <f>IF(EAA!E16&gt;0,EAA!E16,EAA!E16*-1)</f>
        <v>34201585.450000003</v>
      </c>
      <c r="G22" s="386">
        <f t="shared" si="0"/>
        <v>0</v>
      </c>
      <c r="H22" s="105" t="s">
        <v>272</v>
      </c>
      <c r="I22" s="373">
        <f>IF(ESF!C19&gt;0,ESF!C19,ESF!C19*-1)</f>
        <v>33321649.969999999</v>
      </c>
      <c r="J22" s="94" t="s">
        <v>273</v>
      </c>
      <c r="K22" s="373">
        <f>IF(EAA!B16&gt;0,EAA!B16,EAA!B16*-1)</f>
        <v>33321649.969999999</v>
      </c>
      <c r="L22" s="380">
        <f t="shared" si="1"/>
        <v>0</v>
      </c>
      <c r="M22" s="139" t="s">
        <v>184</v>
      </c>
    </row>
    <row r="23" spans="1:13" x14ac:dyDescent="0.2">
      <c r="A23" s="74"/>
      <c r="B23" s="164" t="s">
        <v>186</v>
      </c>
      <c r="C23" s="103" t="s">
        <v>272</v>
      </c>
      <c r="D23" s="361">
        <f>IF(ESF!B20&gt;0,ESF!B20,ESF!B20*-1)</f>
        <v>2714771</v>
      </c>
      <c r="E23" s="104" t="s">
        <v>273</v>
      </c>
      <c r="F23" s="367">
        <f>IF(EAA!E17&gt;0,EAA!E17,EAA!E17*-1)</f>
        <v>2714771</v>
      </c>
      <c r="G23" s="386">
        <f t="shared" si="0"/>
        <v>0</v>
      </c>
      <c r="H23" s="105" t="s">
        <v>272</v>
      </c>
      <c r="I23" s="373">
        <f>IF(ESF!C20&gt;0,ESF!C20,ESF!C20*-1)</f>
        <v>2714771</v>
      </c>
      <c r="J23" s="94" t="s">
        <v>273</v>
      </c>
      <c r="K23" s="373">
        <f>IF(EAA!B17&gt;0,EAA!B17,EAA!B17*-1)</f>
        <v>2714771</v>
      </c>
      <c r="L23" s="380">
        <f t="shared" si="1"/>
        <v>0</v>
      </c>
      <c r="M23" s="139" t="s">
        <v>186</v>
      </c>
    </row>
    <row r="24" spans="1:13" ht="22.5" x14ac:dyDescent="0.2">
      <c r="A24" s="74"/>
      <c r="B24" s="164" t="s">
        <v>188</v>
      </c>
      <c r="C24" s="103" t="s">
        <v>272</v>
      </c>
      <c r="D24" s="361">
        <f>IF(ESF!B21&gt;0,ESF!B21,ESF!B21*-1)</f>
        <v>21248529.359999999</v>
      </c>
      <c r="E24" s="104" t="s">
        <v>273</v>
      </c>
      <c r="F24" s="367">
        <f>IF(EAA!E18&gt;0,EAA!E18,EAA!E18*-1)</f>
        <v>21248529.359999999</v>
      </c>
      <c r="G24" s="386">
        <f t="shared" si="0"/>
        <v>0</v>
      </c>
      <c r="H24" s="105" t="s">
        <v>272</v>
      </c>
      <c r="I24" s="373">
        <f>IF(ESF!C21&gt;0,ESF!C21,ESF!C21*-1)</f>
        <v>20513496.359999999</v>
      </c>
      <c r="J24" s="94" t="s">
        <v>273</v>
      </c>
      <c r="K24" s="373">
        <f>IF(EAA!B18&gt;0,EAA!B18,EAA!B18*-1)</f>
        <v>20513496.359999999</v>
      </c>
      <c r="L24" s="380">
        <f t="shared" si="1"/>
        <v>0</v>
      </c>
      <c r="M24" s="139" t="s">
        <v>188</v>
      </c>
    </row>
    <row r="25" spans="1:13" x14ac:dyDescent="0.2">
      <c r="A25" s="74"/>
      <c r="B25" s="164" t="s">
        <v>190</v>
      </c>
      <c r="C25" s="103" t="s">
        <v>272</v>
      </c>
      <c r="D25" s="361">
        <f>IF(ESF!B22&gt;0,ESF!B22,ESF!B22*-1)</f>
        <v>2260153.5099999998</v>
      </c>
      <c r="E25" s="104" t="s">
        <v>273</v>
      </c>
      <c r="F25" s="367">
        <f>IF(EAA!E19&gt;0,EAA!E19,EAA!E19*-1)</f>
        <v>2260153.5099999998</v>
      </c>
      <c r="G25" s="386">
        <f t="shared" si="0"/>
        <v>0</v>
      </c>
      <c r="H25" s="105" t="s">
        <v>272</v>
      </c>
      <c r="I25" s="373">
        <f>IF(ESF!C22&gt;0,ESF!C22,ESF!C22*-1)</f>
        <v>2109153.5099999998</v>
      </c>
      <c r="J25" s="94" t="s">
        <v>273</v>
      </c>
      <c r="K25" s="373">
        <f>IF(EAA!B19&gt;0,EAA!B19,EAA!B19*-1)</f>
        <v>2109153.5099999998</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13867242.029999999</v>
      </c>
      <c r="E28" s="111" t="s">
        <v>274</v>
      </c>
      <c r="F28" s="359">
        <f>IF(EFE!B65&gt;0,EFE!B65,EFE!B65*-1)</f>
        <v>13867242.029999999</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9591219.3900000006</v>
      </c>
      <c r="J29" s="91" t="s">
        <v>274</v>
      </c>
      <c r="K29" s="370">
        <f>IF(EFE!B63&gt;0,EFE!B63,EFE!B63*-1)</f>
        <v>9591219.3900000006</v>
      </c>
      <c r="L29" s="378">
        <f t="shared" si="1"/>
        <v>0</v>
      </c>
      <c r="M29" s="137" t="s">
        <v>160</v>
      </c>
    </row>
    <row r="30" spans="1:13" ht="12" thickBot="1" x14ac:dyDescent="0.25">
      <c r="A30" s="72" t="s">
        <v>30</v>
      </c>
      <c r="B30" s="171" t="s">
        <v>275</v>
      </c>
      <c r="C30" s="110" t="s">
        <v>272</v>
      </c>
      <c r="D30" s="359">
        <f>IF(ESF!B28&gt;0,ESF!B28,ESF!B28*-1)</f>
        <v>83049064.569999993</v>
      </c>
      <c r="E30" s="91" t="s">
        <v>272</v>
      </c>
      <c r="F30" s="359">
        <f>IF(ESF!E48&gt;0,ESF!E48,ESF!E48*-1)</f>
        <v>83049064.569999993</v>
      </c>
      <c r="G30" s="384">
        <f>ROUND(D30-F30,2)</f>
        <v>0</v>
      </c>
      <c r="H30" s="90" t="s">
        <v>272</v>
      </c>
      <c r="I30" s="370">
        <f>IF(ESF!C28&gt;0,ESF!C28,ESF!C28*-1)</f>
        <v>76924983.419999987</v>
      </c>
      <c r="J30" s="91" t="s">
        <v>272</v>
      </c>
      <c r="K30" s="370">
        <f>IF(ESF!F48&gt;0,ESF!F48,ESF!F48*-1)</f>
        <v>76924983.420000002</v>
      </c>
      <c r="L30" s="378">
        <f t="shared" si="1"/>
        <v>0</v>
      </c>
      <c r="M30" s="137" t="s">
        <v>275</v>
      </c>
    </row>
    <row r="31" spans="1:13" ht="12" thickBot="1" x14ac:dyDescent="0.25">
      <c r="A31" s="72" t="s">
        <v>33</v>
      </c>
      <c r="B31" s="171" t="s">
        <v>276</v>
      </c>
      <c r="C31" s="110" t="s">
        <v>272</v>
      </c>
      <c r="D31" s="359">
        <f>IF(ESF!E26&gt;0,ESF!E26,ESF!E26*-1)</f>
        <v>13555706.640000001</v>
      </c>
      <c r="E31" s="91" t="s">
        <v>287</v>
      </c>
      <c r="F31" s="359">
        <f>IF(ADP!E34&gt;0,ADP!E34,ADP!E34*-1)</f>
        <v>13555706.640000001</v>
      </c>
      <c r="G31" s="384">
        <f>ROUND(D31-F31,2)</f>
        <v>0</v>
      </c>
      <c r="H31" s="90" t="s">
        <v>272</v>
      </c>
      <c r="I31" s="370">
        <f>IF(ESF!F26&gt;0,ESF!F26,ESF!F26*-1)</f>
        <v>13439365.58</v>
      </c>
      <c r="J31" s="91" t="s">
        <v>287</v>
      </c>
      <c r="K31" s="370">
        <f>IF(ADP!D34&gt;0,ADP!D34,ADP!D34*-1)</f>
        <v>13439365.58</v>
      </c>
      <c r="L31" s="378">
        <f t="shared" si="1"/>
        <v>0</v>
      </c>
      <c r="M31" s="137" t="s">
        <v>276</v>
      </c>
    </row>
    <row r="32" spans="1:13" x14ac:dyDescent="0.2">
      <c r="A32" s="73" t="s">
        <v>36</v>
      </c>
      <c r="B32" s="175" t="s">
        <v>199</v>
      </c>
      <c r="C32" s="446"/>
      <c r="D32" s="447"/>
      <c r="E32" s="447"/>
      <c r="F32" s="447"/>
      <c r="G32" s="448"/>
      <c r="H32" s="101" t="s">
        <v>272</v>
      </c>
      <c r="I32" s="388">
        <f>IF(ESF!F30&gt;0,ESF!F30,ESF!F30*-1)</f>
        <v>6486187.7999999998</v>
      </c>
      <c r="J32" s="102" t="s">
        <v>286</v>
      </c>
      <c r="K32" s="388">
        <f>IF(VHP!B4&gt;0,VHP!B4,VHP!B4*-1)</f>
        <v>6486187.7999999998</v>
      </c>
      <c r="L32" s="379">
        <f t="shared" si="1"/>
        <v>0</v>
      </c>
      <c r="M32" s="141" t="s">
        <v>199</v>
      </c>
    </row>
    <row r="33" spans="1:15" ht="12" thickBot="1" x14ac:dyDescent="0.25">
      <c r="A33" s="75"/>
      <c r="B33" s="176" t="s">
        <v>199</v>
      </c>
      <c r="C33" s="449"/>
      <c r="D33" s="450"/>
      <c r="E33" s="450"/>
      <c r="F33" s="450"/>
      <c r="G33" s="451"/>
      <c r="H33" s="117" t="s">
        <v>272</v>
      </c>
      <c r="I33" s="374">
        <f>IF(ESF!F30&gt;0,ESF!F30,ESF!F30*-1)</f>
        <v>6486187.7999999998</v>
      </c>
      <c r="J33" s="109" t="s">
        <v>286</v>
      </c>
      <c r="K33" s="374">
        <f>IF(VHP!F4&gt;0,VHP!F4,VHP!F4*-1)</f>
        <v>6486187.7999999998</v>
      </c>
      <c r="L33" s="381">
        <f t="shared" si="1"/>
        <v>0</v>
      </c>
      <c r="M33" s="142" t="s">
        <v>199</v>
      </c>
    </row>
    <row r="34" spans="1:15" ht="12" thickBot="1" x14ac:dyDescent="0.25">
      <c r="A34" s="72" t="s">
        <v>39</v>
      </c>
      <c r="B34" s="177" t="s">
        <v>202</v>
      </c>
      <c r="C34" s="449"/>
      <c r="D34" s="450"/>
      <c r="E34" s="450"/>
      <c r="F34" s="450"/>
      <c r="G34" s="451"/>
      <c r="H34" s="90" t="s">
        <v>272</v>
      </c>
      <c r="I34" s="370">
        <f>IF(ESF!F35&gt;0,ESF!F35,ESF!F35*-1)</f>
        <v>56999430.040000007</v>
      </c>
      <c r="J34" s="91" t="s">
        <v>286</v>
      </c>
      <c r="K34" s="370">
        <f>IF(VHP!F9&gt;0,VHP!F9,VHP!F9*-1)</f>
        <v>56999430.040000007</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69493357.929999992</v>
      </c>
      <c r="E37" s="91" t="s">
        <v>286</v>
      </c>
      <c r="F37" s="359">
        <f>IF(VHP!F38&gt;0,VHP!F38,VHP!F38*-1)</f>
        <v>69493357.930000007</v>
      </c>
      <c r="G37" s="389">
        <f>ROUND(D37-F37,2)</f>
        <v>0</v>
      </c>
      <c r="H37" s="90" t="s">
        <v>272</v>
      </c>
      <c r="I37" s="370">
        <f>IF(ESF!F46&gt;0,ESF!F46,ESF!F46*-1)</f>
        <v>63485617.840000004</v>
      </c>
      <c r="J37" s="91" t="s">
        <v>286</v>
      </c>
      <c r="K37" s="370">
        <f>IF(VHP!F20&gt;0,VHP!F20,VHP!F20*-1)</f>
        <v>63485617.840000004</v>
      </c>
      <c r="L37" s="378">
        <f t="shared" si="1"/>
        <v>0</v>
      </c>
      <c r="M37" s="146" t="s">
        <v>277</v>
      </c>
    </row>
    <row r="38" spans="1:15" ht="22.5" x14ac:dyDescent="0.2">
      <c r="A38" s="73" t="s">
        <v>45</v>
      </c>
      <c r="B38" s="175" t="s">
        <v>278</v>
      </c>
      <c r="C38" s="446"/>
      <c r="D38" s="447"/>
      <c r="E38" s="447"/>
      <c r="F38" s="447"/>
      <c r="G38" s="448"/>
      <c r="H38" s="101" t="s">
        <v>286</v>
      </c>
      <c r="I38" s="388">
        <f>IF(VHP!B4&gt;0,VHP!B4,VHP!B4*-1)</f>
        <v>6486187.7999999998</v>
      </c>
      <c r="J38" s="102" t="s">
        <v>272</v>
      </c>
      <c r="K38" s="388">
        <f>IF(ESF!F30&gt;0,ESF!F30,ESF!F30*-1)</f>
        <v>6486187.7999999998</v>
      </c>
      <c r="L38" s="379">
        <f t="shared" si="1"/>
        <v>0</v>
      </c>
      <c r="M38" s="141" t="s">
        <v>278</v>
      </c>
    </row>
    <row r="39" spans="1:15" ht="23.25" thickBot="1" x14ac:dyDescent="0.25">
      <c r="A39" s="75"/>
      <c r="B39" s="176" t="s">
        <v>278</v>
      </c>
      <c r="C39" s="449"/>
      <c r="D39" s="450"/>
      <c r="E39" s="450"/>
      <c r="F39" s="450"/>
      <c r="G39" s="451"/>
      <c r="H39" s="117" t="s">
        <v>286</v>
      </c>
      <c r="I39" s="374">
        <f>IF(VHP!F4&gt;0,VHP!F4,VHP!F4*-1)</f>
        <v>6486187.7999999998</v>
      </c>
      <c r="J39" s="109" t="s">
        <v>272</v>
      </c>
      <c r="K39" s="374">
        <f>IF(ESF!F30&gt;0,ESF!F30,ESF!F30*-1)</f>
        <v>6486187.7999999998</v>
      </c>
      <c r="L39" s="381">
        <f t="shared" si="1"/>
        <v>0</v>
      </c>
      <c r="M39" s="142" t="s">
        <v>278</v>
      </c>
    </row>
    <row r="40" spans="1:15" ht="23.25" thickBot="1" x14ac:dyDescent="0.25">
      <c r="A40" s="72" t="s">
        <v>48</v>
      </c>
      <c r="B40" s="177" t="s">
        <v>279</v>
      </c>
      <c r="C40" s="449"/>
      <c r="D40" s="450"/>
      <c r="E40" s="450"/>
      <c r="F40" s="450"/>
      <c r="G40" s="451"/>
      <c r="H40" s="90" t="s">
        <v>286</v>
      </c>
      <c r="I40" s="370">
        <f>IF(VHP!F9&gt;0,VHP!F9,VHP!F9*-1)</f>
        <v>56999430.040000007</v>
      </c>
      <c r="J40" s="91" t="s">
        <v>272</v>
      </c>
      <c r="K40" s="370">
        <f>IF(ESF!F35&gt;0,ESF!F35,ESF!F35*-1)</f>
        <v>56999430.040000007</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69493357.930000007</v>
      </c>
      <c r="E43" s="91" t="s">
        <v>272</v>
      </c>
      <c r="F43" s="118">
        <f>IF(ESF!E46&gt;0,ESF!E46,ESF!E46*-1)</f>
        <v>69493357.929999992</v>
      </c>
      <c r="G43" s="384">
        <f t="shared" ref="G43:G49" si="2">ROUND(D43-F43,2)</f>
        <v>0</v>
      </c>
      <c r="H43" s="90" t="s">
        <v>286</v>
      </c>
      <c r="I43" s="370">
        <f>IF(VHP!F20&gt;0,VHP!F20,VHP!F20*-1)</f>
        <v>63485617.840000004</v>
      </c>
      <c r="J43" s="91" t="s">
        <v>272</v>
      </c>
      <c r="K43" s="370">
        <f>IF(ESF!F46&gt;0,ESF!F46,ESF!F46*-1)</f>
        <v>63485617.840000004</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7960638.2300000004</v>
      </c>
      <c r="E50" s="91" t="s">
        <v>288</v>
      </c>
      <c r="F50" s="118">
        <f>IF(CSF!$B52&gt;0,CSF!$B52,CSF!$C52)</f>
        <v>7960638.2300000004</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1952898.1400000006</v>
      </c>
      <c r="E53" s="91" t="s">
        <v>288</v>
      </c>
      <c r="F53" s="118">
        <f>IF(CSF!$B51&gt;0,CSF!$B51,CSF!$C51)</f>
        <v>1952898.14</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6007740.0899999999</v>
      </c>
      <c r="E54" s="102" t="s">
        <v>272</v>
      </c>
      <c r="F54" s="119">
        <f>IF(ESF!E36&gt;0,ESF!E36,ESF!E36*-1)</f>
        <v>6007740.0899999999</v>
      </c>
      <c r="G54" s="385">
        <f t="shared" si="3"/>
        <v>0</v>
      </c>
      <c r="H54" s="449"/>
      <c r="I54" s="450"/>
      <c r="J54" s="450"/>
      <c r="K54" s="450"/>
      <c r="L54" s="451"/>
      <c r="M54" s="152" t="s">
        <v>154</v>
      </c>
    </row>
    <row r="55" spans="1:13" ht="12" thickBot="1" x14ac:dyDescent="0.25">
      <c r="A55" s="75"/>
      <c r="B55" s="183" t="s">
        <v>154</v>
      </c>
      <c r="C55" s="117" t="s">
        <v>286</v>
      </c>
      <c r="D55" s="368">
        <f>IF(VHP!D28&gt;0,VHP!D28,VHP!D28*-1)</f>
        <v>6007740.0899999999</v>
      </c>
      <c r="E55" s="109" t="s">
        <v>282</v>
      </c>
      <c r="F55" s="124">
        <f>IF(ACT!B66&gt;0,ACT!B66,ACT!B66*-1)</f>
        <v>6007740.0899999999</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7960638.2300000004</v>
      </c>
      <c r="J56" s="131" t="s">
        <v>272</v>
      </c>
      <c r="K56" s="376">
        <f>IF(ESF!F36&gt;0,ESF!F36,ESF!F36*-1)</f>
        <v>7960638.2300000004</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7960638.2300000004</v>
      </c>
      <c r="J57" s="94" t="s">
        <v>282</v>
      </c>
      <c r="K57" s="394">
        <f>IF(ACT!C66&gt;0,ACT!C66,ACT!C66*-1)</f>
        <v>7960638.2300000042</v>
      </c>
      <c r="L57" s="380">
        <f t="shared" si="4"/>
        <v>0</v>
      </c>
      <c r="M57" s="150" t="s">
        <v>154</v>
      </c>
    </row>
    <row r="58" spans="1:13" x14ac:dyDescent="0.2">
      <c r="A58" s="83" t="s">
        <v>68</v>
      </c>
      <c r="B58" s="193" t="s">
        <v>204</v>
      </c>
      <c r="C58" s="122" t="s">
        <v>286</v>
      </c>
      <c r="D58" s="367">
        <f>IF(VHP!D29&gt;0,VHP!D29,VHP!D29*-1)</f>
        <v>7960638.2300000004</v>
      </c>
      <c r="E58" s="128"/>
      <c r="F58" s="128"/>
      <c r="G58" s="128"/>
      <c r="H58" s="458"/>
      <c r="I58" s="459"/>
      <c r="J58" s="94" t="s">
        <v>272</v>
      </c>
      <c r="K58" s="373">
        <f>IF(ESF!F36&gt;0,ESF!F36,ESF!F36*-1)</f>
        <v>7960638.2300000004</v>
      </c>
      <c r="L58" s="380">
        <f>ROUND((D58-K58),2)</f>
        <v>0</v>
      </c>
      <c r="M58" s="154" t="s">
        <v>204</v>
      </c>
    </row>
    <row r="59" spans="1:13" ht="12" thickBot="1" x14ac:dyDescent="0.25">
      <c r="A59" s="75"/>
      <c r="B59" s="194" t="s">
        <v>204</v>
      </c>
      <c r="C59" s="125" t="s">
        <v>286</v>
      </c>
      <c r="D59" s="393">
        <f>IF(VHP!D29&gt;0,VHP!D29,VHP!D29*-1)</f>
        <v>7960638.2300000004</v>
      </c>
      <c r="E59" s="128"/>
      <c r="F59" s="128"/>
      <c r="G59" s="128"/>
      <c r="H59" s="452"/>
      <c r="I59" s="460"/>
      <c r="J59" s="126" t="s">
        <v>283</v>
      </c>
      <c r="K59" s="394">
        <f>IF(ACT!C66&gt;0,ACT!C66,ACT!C66*-1)</f>
        <v>7960638.2300000042</v>
      </c>
      <c r="L59" s="396">
        <f>ROUND((D59-K59),2)</f>
        <v>0</v>
      </c>
      <c r="M59" s="149" t="s">
        <v>204</v>
      </c>
    </row>
    <row r="60" spans="1:13" ht="12" thickBot="1" x14ac:dyDescent="0.25">
      <c r="A60" s="78" t="s">
        <v>72</v>
      </c>
      <c r="B60" s="186" t="s">
        <v>160</v>
      </c>
      <c r="C60" s="90" t="s">
        <v>288</v>
      </c>
      <c r="D60" s="118">
        <f>IF(CSF!$B5&gt;0,CSF!$B5,CSF!$C5)</f>
        <v>4276022.6399999997</v>
      </c>
      <c r="E60" s="91" t="s">
        <v>274</v>
      </c>
      <c r="F60" s="118">
        <f>IF(EFE!B61&gt;0,EFE!B61,EFE!B61*-1)</f>
        <v>4276022.6399999987</v>
      </c>
      <c r="G60" s="384">
        <f>ROUND(D60-F60,2)</f>
        <v>0</v>
      </c>
      <c r="H60" s="446"/>
      <c r="I60" s="447"/>
      <c r="J60" s="447"/>
      <c r="K60" s="447"/>
      <c r="L60" s="448"/>
      <c r="M60" s="155" t="s">
        <v>160</v>
      </c>
    </row>
    <row r="61" spans="1:13" x14ac:dyDescent="0.2">
      <c r="A61" s="76" t="s">
        <v>75</v>
      </c>
      <c r="B61" s="187" t="s">
        <v>160</v>
      </c>
      <c r="C61" s="101" t="s">
        <v>288</v>
      </c>
      <c r="D61" s="119">
        <f>IF(CSF!$B5&gt;0,CSF!$B5,CSF!$C5)</f>
        <v>4276022.6399999997</v>
      </c>
      <c r="E61" s="102" t="s">
        <v>273</v>
      </c>
      <c r="F61" s="119">
        <f>IF(EAA!F5&gt;0,EAA!F5,EAA!F5*-1)</f>
        <v>4276022.6400000006</v>
      </c>
      <c r="G61" s="385">
        <f>ROUND(D61-F61,2)</f>
        <v>0</v>
      </c>
      <c r="H61" s="449"/>
      <c r="I61" s="450"/>
      <c r="J61" s="450"/>
      <c r="K61" s="450"/>
      <c r="L61" s="451"/>
      <c r="M61" s="156" t="s">
        <v>160</v>
      </c>
    </row>
    <row r="62" spans="1:13" x14ac:dyDescent="0.2">
      <c r="A62" s="79"/>
      <c r="B62" s="167" t="s">
        <v>162</v>
      </c>
      <c r="C62" s="122" t="s">
        <v>288</v>
      </c>
      <c r="D62" s="123">
        <f>IF(CSF!$B6&gt;0,CSF!$B6,CSF!$C6)</f>
        <v>1242734.3999999999</v>
      </c>
      <c r="E62" s="94" t="s">
        <v>273</v>
      </c>
      <c r="F62" s="123">
        <f>IF(EAA!F6&gt;0,EAA!F6,EAA!F6*-1)</f>
        <v>1242734.4000000022</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309421.63</v>
      </c>
      <c r="E65" s="94" t="s">
        <v>273</v>
      </c>
      <c r="F65" s="123">
        <f>IF(EAA!F9&gt;0,EAA!F9,EAA!F9*-1)</f>
        <v>309421.62999999989</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2.5" x14ac:dyDescent="0.2">
      <c r="A70" s="79"/>
      <c r="B70" s="167" t="s">
        <v>182</v>
      </c>
      <c r="C70" s="122" t="s">
        <v>288</v>
      </c>
      <c r="D70" s="123">
        <f>IF(CSF!$B16&gt;0,CSF!$B16,CSF!$C16)</f>
        <v>0</v>
      </c>
      <c r="E70" s="94" t="s">
        <v>273</v>
      </c>
      <c r="F70" s="123">
        <f>IF(EAA!F15&gt;0,EAA!F15,EAA!F15*-1)</f>
        <v>0</v>
      </c>
      <c r="G70" s="386">
        <f t="shared" si="5"/>
        <v>0</v>
      </c>
      <c r="H70" s="449"/>
      <c r="I70" s="450"/>
      <c r="J70" s="450"/>
      <c r="K70" s="450"/>
      <c r="L70" s="451"/>
      <c r="M70" s="157" t="s">
        <v>182</v>
      </c>
    </row>
    <row r="71" spans="1:13" x14ac:dyDescent="0.2">
      <c r="A71" s="79"/>
      <c r="B71" s="167" t="s">
        <v>184</v>
      </c>
      <c r="C71" s="122" t="s">
        <v>288</v>
      </c>
      <c r="D71" s="123">
        <f>IF(CSF!$B17&gt;0,CSF!$B17,CSF!$C17)</f>
        <v>879935.48</v>
      </c>
      <c r="E71" s="94" t="s">
        <v>273</v>
      </c>
      <c r="F71" s="123">
        <f>IF(EAA!F16&gt;0,EAA!F16,EAA!F16*-1)</f>
        <v>879935.48000000417</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2.5" x14ac:dyDescent="0.2">
      <c r="A73" s="79"/>
      <c r="B73" s="167" t="s">
        <v>188</v>
      </c>
      <c r="C73" s="122" t="s">
        <v>288</v>
      </c>
      <c r="D73" s="123">
        <f>IF(CSF!$B19&gt;0,CSF!$B19,CSF!$C19)</f>
        <v>735033</v>
      </c>
      <c r="E73" s="94" t="s">
        <v>273</v>
      </c>
      <c r="F73" s="123">
        <f>IF(EAA!F18&gt;0,EAA!F18,EAA!F18*-1)</f>
        <v>735033</v>
      </c>
      <c r="G73" s="386">
        <f t="shared" si="5"/>
        <v>0</v>
      </c>
      <c r="H73" s="449"/>
      <c r="I73" s="450"/>
      <c r="J73" s="450"/>
      <c r="K73" s="450"/>
      <c r="L73" s="451"/>
      <c r="M73" s="157" t="s">
        <v>188</v>
      </c>
    </row>
    <row r="74" spans="1:13" x14ac:dyDescent="0.2">
      <c r="A74" s="79"/>
      <c r="B74" s="167" t="s">
        <v>190</v>
      </c>
      <c r="C74" s="122" t="s">
        <v>288</v>
      </c>
      <c r="D74" s="123">
        <f>IF(CSF!$B20&gt;0,CSF!$B20,CSF!$C20)</f>
        <v>151000</v>
      </c>
      <c r="E74" s="94" t="s">
        <v>273</v>
      </c>
      <c r="F74" s="123">
        <f>IF(EAA!F19&gt;0,EAA!F19,EAA!F19*-1)</f>
        <v>151000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1952898.14</v>
      </c>
      <c r="E80" s="91" t="s">
        <v>286</v>
      </c>
      <c r="F80" s="118">
        <f>IF((VHP!D28+VHP!D29)&gt;0,VHP!D28+VHP!D29,(VHP!D28+VHP!D29)*-1)</f>
        <v>1952898.1400000006</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4276022.6399999987</v>
      </c>
      <c r="E81" s="91" t="s">
        <v>288</v>
      </c>
      <c r="F81" s="118">
        <f>IF(CSF!$B5&gt;0,CSF!$B5,CSF!$C5)</f>
        <v>4276022.6399999997</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13867242.029999999</v>
      </c>
      <c r="E82" s="91" t="s">
        <v>272</v>
      </c>
      <c r="F82" s="118">
        <f>IF(ESF!B5&gt;0,ESF!B5,ESF!B5*-1)</f>
        <v>13867242.029999999</v>
      </c>
      <c r="G82" s="384">
        <f t="shared" si="6"/>
        <v>0</v>
      </c>
      <c r="H82" s="90" t="s">
        <v>274</v>
      </c>
      <c r="I82" s="370">
        <f>IF(EFE!C65&gt;0,EFE!C65,EFE!C65*-1)</f>
        <v>9591219.3900000006</v>
      </c>
      <c r="J82" s="91" t="s">
        <v>272</v>
      </c>
      <c r="K82" s="370">
        <f>IF(ESF!C5&gt;0,ESF!C5,ESF!C5*-1)</f>
        <v>9591219.3900000006</v>
      </c>
      <c r="L82" s="378">
        <f t="shared" ref="L82:L99" si="7">ROUND(I82-K82,2)</f>
        <v>0</v>
      </c>
      <c r="M82" s="137" t="s">
        <v>245</v>
      </c>
    </row>
    <row r="83" spans="1:13" ht="23.25" thickBot="1" x14ac:dyDescent="0.25">
      <c r="A83" s="78" t="s">
        <v>89</v>
      </c>
      <c r="B83" s="171" t="s">
        <v>244</v>
      </c>
      <c r="C83" s="132" t="s">
        <v>274</v>
      </c>
      <c r="D83" s="359">
        <f>IF(EFE!B63&gt;0,EFE!B63,EFE!B63*-1)</f>
        <v>9591219.3900000006</v>
      </c>
      <c r="E83" s="461"/>
      <c r="F83" s="456"/>
      <c r="G83" s="456"/>
      <c r="H83" s="456"/>
      <c r="I83" s="462"/>
      <c r="J83" s="91" t="s">
        <v>272</v>
      </c>
      <c r="K83" s="398">
        <f>IF(ESF!C5&gt;0,ESF!C5,ESF!C5*-1)</f>
        <v>9591219.3900000006</v>
      </c>
      <c r="L83" s="378">
        <f>ROUND(D83-K83,2)</f>
        <v>0</v>
      </c>
      <c r="M83" s="137" t="s">
        <v>244</v>
      </c>
    </row>
    <row r="84" spans="1:13" x14ac:dyDescent="0.2">
      <c r="A84" s="76" t="s">
        <v>91</v>
      </c>
      <c r="B84" s="189" t="s">
        <v>160</v>
      </c>
      <c r="C84" s="101" t="s">
        <v>273</v>
      </c>
      <c r="D84" s="366">
        <f>IF(EAA!E5&gt;0,EAA!E5,EAA!E5*-1)</f>
        <v>13867242.030000001</v>
      </c>
      <c r="E84" s="102" t="s">
        <v>272</v>
      </c>
      <c r="F84" s="197">
        <f>IF(ESF!B5&gt;0,ESF!B5,ESF!B5*-1)</f>
        <v>13867242.029999999</v>
      </c>
      <c r="G84" s="385">
        <f t="shared" ref="G84:G99" si="8">ROUND(D84-F84,2)</f>
        <v>0</v>
      </c>
      <c r="H84" s="101" t="s">
        <v>273</v>
      </c>
      <c r="I84" s="364">
        <f>IF(EAA!B5&gt;0,EAA!B5,EAA!B5*-1)</f>
        <v>9591219.3900000006</v>
      </c>
      <c r="J84" s="102" t="s">
        <v>272</v>
      </c>
      <c r="K84" s="388">
        <f>IF(ESF!C5&gt;0,ESF!C5,ESF!C5*-1)</f>
        <v>9591219.3900000006</v>
      </c>
      <c r="L84" s="379">
        <f t="shared" si="7"/>
        <v>0</v>
      </c>
      <c r="M84" s="159" t="s">
        <v>160</v>
      </c>
    </row>
    <row r="85" spans="1:13" x14ac:dyDescent="0.2">
      <c r="A85" s="79"/>
      <c r="B85" s="168" t="s">
        <v>162</v>
      </c>
      <c r="C85" s="122" t="s">
        <v>273</v>
      </c>
      <c r="D85" s="367">
        <f>IF(EAA!E6&gt;0,EAA!E6,EAA!E6*-1)</f>
        <v>28335060.050000001</v>
      </c>
      <c r="E85" s="94" t="s">
        <v>272</v>
      </c>
      <c r="F85" s="123">
        <f>IF(ESF!B6&gt;0,ESF!B6,ESF!B6*-1)</f>
        <v>28335060.050000001</v>
      </c>
      <c r="G85" s="386">
        <f t="shared" si="8"/>
        <v>0</v>
      </c>
      <c r="H85" s="122" t="s">
        <v>273</v>
      </c>
      <c r="I85" s="373">
        <f>IF(EAA!B6&gt;0,EAA!B6,EAA!B6*-1)</f>
        <v>27092325.649999999</v>
      </c>
      <c r="J85" s="94" t="s">
        <v>272</v>
      </c>
      <c r="K85" s="373">
        <f>IF(ESF!C6&gt;0,ESF!C6,ESF!C6*-1)</f>
        <v>27092325.649999999</v>
      </c>
      <c r="L85" s="380">
        <f t="shared" si="7"/>
        <v>0</v>
      </c>
      <c r="M85" s="160" t="s">
        <v>162</v>
      </c>
    </row>
    <row r="86" spans="1:13" x14ac:dyDescent="0.2">
      <c r="A86" s="79"/>
      <c r="B86" s="168" t="s">
        <v>164</v>
      </c>
      <c r="C86" s="122" t="s">
        <v>273</v>
      </c>
      <c r="D86" s="367">
        <f>IF(EAA!E7&gt;0,EAA!E7,EAA!E7*-1)</f>
        <v>0</v>
      </c>
      <c r="E86" s="94" t="s">
        <v>272</v>
      </c>
      <c r="F86" s="123">
        <f>IF(ESF!B7&gt;0,ESF!B7,ESF!B7*-1)</f>
        <v>0</v>
      </c>
      <c r="G86" s="386">
        <f t="shared" si="8"/>
        <v>0</v>
      </c>
      <c r="H86" s="122" t="s">
        <v>273</v>
      </c>
      <c r="I86" s="373">
        <f>IF(EAA!B7&gt;0,EAA!B7,EAA!B7*-1)</f>
        <v>0</v>
      </c>
      <c r="J86" s="94" t="s">
        <v>272</v>
      </c>
      <c r="K86" s="373">
        <f>IF(ESF!C7&gt;0,ESF!C7,ESF!C7*-1)</f>
        <v>0</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1476951.72</v>
      </c>
      <c r="E88" s="94" t="s">
        <v>272</v>
      </c>
      <c r="F88" s="123">
        <f>IF(ESF!B9&gt;0,ESF!B9,ESF!B9*-1)</f>
        <v>1476951.72</v>
      </c>
      <c r="G88" s="386">
        <f t="shared" si="8"/>
        <v>0</v>
      </c>
      <c r="H88" s="122" t="s">
        <v>273</v>
      </c>
      <c r="I88" s="373">
        <f>IF(EAA!B9&gt;0,EAA!B9,EAA!B9*-1)</f>
        <v>1167530.0900000001</v>
      </c>
      <c r="J88" s="94" t="s">
        <v>272</v>
      </c>
      <c r="K88" s="373">
        <f>IF(ESF!C9&gt;0,ESF!C9,ESF!C9*-1)</f>
        <v>1167530.0900000001</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47935.87</v>
      </c>
      <c r="E90" s="94" t="s">
        <v>272</v>
      </c>
      <c r="F90" s="123">
        <f>IF(ESF!B11&gt;0,ESF!B11,ESF!B11*-1)</f>
        <v>47935.87</v>
      </c>
      <c r="G90" s="386">
        <f t="shared" si="8"/>
        <v>0</v>
      </c>
      <c r="H90" s="122" t="s">
        <v>273</v>
      </c>
      <c r="I90" s="373">
        <f>IF(EAA!B11&gt;0,EAA!B11,EAA!B11*-1)</f>
        <v>47935.87</v>
      </c>
      <c r="J90" s="94" t="s">
        <v>272</v>
      </c>
      <c r="K90" s="373">
        <f>IF(ESF!C11&gt;0,ESF!C11,ESF!C11*-1)</f>
        <v>47935.87</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21393894.300000001</v>
      </c>
      <c r="E93" s="94" t="s">
        <v>272</v>
      </c>
      <c r="F93" s="123">
        <f>IF(ESF!B18&gt;0,ESF!B18,ESF!B18*-1)</f>
        <v>21393894.300000001</v>
      </c>
      <c r="G93" s="386">
        <f t="shared" si="8"/>
        <v>0</v>
      </c>
      <c r="H93" s="122" t="s">
        <v>273</v>
      </c>
      <c r="I93" s="373">
        <f>IF(EAA!B15&gt;0,EAA!B15,EAA!B15*-1)</f>
        <v>21393894.300000001</v>
      </c>
      <c r="J93" s="94" t="s">
        <v>272</v>
      </c>
      <c r="K93" s="373">
        <f>IF(ESF!C18&gt;0,ESF!C18,ESF!C18*-1)</f>
        <v>21393894.300000001</v>
      </c>
      <c r="L93" s="380">
        <f t="shared" si="7"/>
        <v>0</v>
      </c>
      <c r="M93" s="160" t="s">
        <v>182</v>
      </c>
    </row>
    <row r="94" spans="1:13" x14ac:dyDescent="0.2">
      <c r="A94" s="79"/>
      <c r="B94" s="168" t="s">
        <v>184</v>
      </c>
      <c r="C94" s="122" t="s">
        <v>273</v>
      </c>
      <c r="D94" s="367">
        <f>IF(EAA!E16&gt;0,EAA!E16,EAA!E16*-1)</f>
        <v>34201585.450000003</v>
      </c>
      <c r="E94" s="94" t="s">
        <v>272</v>
      </c>
      <c r="F94" s="123">
        <f>IF(ESF!B19&gt;0,ESF!B19,ESF!B19*-1)</f>
        <v>34201585.450000003</v>
      </c>
      <c r="G94" s="386">
        <f t="shared" si="8"/>
        <v>0</v>
      </c>
      <c r="H94" s="122" t="s">
        <v>273</v>
      </c>
      <c r="I94" s="373">
        <f>IF(EAA!B16&gt;0,EAA!B16,EAA!B16*-1)</f>
        <v>33321649.969999999</v>
      </c>
      <c r="J94" s="94" t="s">
        <v>272</v>
      </c>
      <c r="K94" s="373">
        <f>IF(ESF!C19&gt;0,ESF!C19,ESF!C19*-1)</f>
        <v>33321649.969999999</v>
      </c>
      <c r="L94" s="380">
        <f t="shared" si="7"/>
        <v>0</v>
      </c>
      <c r="M94" s="160" t="s">
        <v>184</v>
      </c>
    </row>
    <row r="95" spans="1:13" x14ac:dyDescent="0.2">
      <c r="A95" s="79"/>
      <c r="B95" s="168" t="s">
        <v>186</v>
      </c>
      <c r="C95" s="122" t="s">
        <v>273</v>
      </c>
      <c r="D95" s="367">
        <f>IF(EAA!E17&gt;0,EAA!E17,EAA!E17*-1)</f>
        <v>2714771</v>
      </c>
      <c r="E95" s="94" t="s">
        <v>272</v>
      </c>
      <c r="F95" s="123">
        <f>IF(ESF!B20&gt;0,ESF!B20,ESF!B20*-1)</f>
        <v>2714771</v>
      </c>
      <c r="G95" s="386">
        <f t="shared" si="8"/>
        <v>0</v>
      </c>
      <c r="H95" s="122" t="s">
        <v>273</v>
      </c>
      <c r="I95" s="373">
        <f>IF(EAA!B17&gt;0,EAA!B17,EAA!B17*-1)</f>
        <v>2714771</v>
      </c>
      <c r="J95" s="94" t="s">
        <v>272</v>
      </c>
      <c r="K95" s="373">
        <f>IF(ESF!C20&gt;0,ESF!C20,ESF!C20*-1)</f>
        <v>2714771</v>
      </c>
      <c r="L95" s="380">
        <f t="shared" si="7"/>
        <v>0</v>
      </c>
      <c r="M95" s="160" t="s">
        <v>186</v>
      </c>
    </row>
    <row r="96" spans="1:13" ht="22.5" x14ac:dyDescent="0.2">
      <c r="A96" s="79"/>
      <c r="B96" s="168" t="s">
        <v>188</v>
      </c>
      <c r="C96" s="122" t="s">
        <v>273</v>
      </c>
      <c r="D96" s="367">
        <f>IF(EAA!E18&gt;0,EAA!E18,EAA!E18*-1)</f>
        <v>21248529.359999999</v>
      </c>
      <c r="E96" s="94" t="s">
        <v>272</v>
      </c>
      <c r="F96" s="123">
        <f>IF(ESF!B21&gt;0,ESF!B21,ESF!B21*-1)</f>
        <v>21248529.359999999</v>
      </c>
      <c r="G96" s="386">
        <f t="shared" si="8"/>
        <v>0</v>
      </c>
      <c r="H96" s="122" t="s">
        <v>273</v>
      </c>
      <c r="I96" s="373">
        <f>IF(EAA!B18&gt;0,EAA!B18,EAA!B18*-1)</f>
        <v>20513496.359999999</v>
      </c>
      <c r="J96" s="94" t="s">
        <v>272</v>
      </c>
      <c r="K96" s="373">
        <f>IF(ESF!C21&gt;0,ESF!C21,ESF!C21*-1)</f>
        <v>20513496.359999999</v>
      </c>
      <c r="L96" s="380">
        <f t="shared" si="7"/>
        <v>0</v>
      </c>
      <c r="M96" s="160" t="s">
        <v>188</v>
      </c>
    </row>
    <row r="97" spans="1:13" x14ac:dyDescent="0.2">
      <c r="A97" s="79"/>
      <c r="B97" s="168" t="s">
        <v>190</v>
      </c>
      <c r="C97" s="122" t="s">
        <v>273</v>
      </c>
      <c r="D97" s="367">
        <f>IF(EAA!E19&gt;0,EAA!E19,EAA!E19*-1)</f>
        <v>2260153.5099999998</v>
      </c>
      <c r="E97" s="94" t="s">
        <v>272</v>
      </c>
      <c r="F97" s="123">
        <f>IF(ESF!B22&gt;0,ESF!B22,ESF!B22*-1)</f>
        <v>2260153.5099999998</v>
      </c>
      <c r="G97" s="386">
        <f t="shared" si="8"/>
        <v>0</v>
      </c>
      <c r="H97" s="122" t="s">
        <v>273</v>
      </c>
      <c r="I97" s="373">
        <f>IF(EAA!B19&gt;0,EAA!B19,EAA!B19*-1)</f>
        <v>2109153.5099999998</v>
      </c>
      <c r="J97" s="94" t="s">
        <v>272</v>
      </c>
      <c r="K97" s="373">
        <f>IF(ESF!C22&gt;0,ESF!C22,ESF!C22*-1)</f>
        <v>2109153.5099999998</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4276022.6400000006</v>
      </c>
      <c r="E100" s="131" t="s">
        <v>288</v>
      </c>
      <c r="F100" s="133">
        <f>IF(CSF!$B5&gt;0,CSF!$B5,CSF!$C5)</f>
        <v>4276022.6399999997</v>
      </c>
      <c r="G100" s="397">
        <f>ROUND(D100-F100,2)</f>
        <v>0</v>
      </c>
      <c r="H100" s="449"/>
      <c r="I100" s="450"/>
      <c r="J100" s="450"/>
      <c r="K100" s="134"/>
      <c r="L100" s="135"/>
      <c r="M100" s="162" t="s">
        <v>160</v>
      </c>
    </row>
    <row r="101" spans="1:13" x14ac:dyDescent="0.2">
      <c r="A101" s="67"/>
      <c r="B101" s="169" t="s">
        <v>162</v>
      </c>
      <c r="C101" s="122" t="s">
        <v>273</v>
      </c>
      <c r="D101" s="390">
        <f>IF(EAA!F6&gt;0,EAA!F6,EAA!F6*-1)</f>
        <v>1242734.4000000022</v>
      </c>
      <c r="E101" s="94" t="s">
        <v>288</v>
      </c>
      <c r="F101" s="123">
        <f>IF(CSF!$B6&gt;0,CSF!$B6,CSF!$C6)</f>
        <v>1242734.3999999999</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309421.62999999989</v>
      </c>
      <c r="E104" s="94" t="s">
        <v>288</v>
      </c>
      <c r="F104" s="123">
        <f>IF(CSF!$B9&gt;0,CSF!$B9,CSF!$C9)</f>
        <v>309421.63</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2.5" x14ac:dyDescent="0.2">
      <c r="A109" s="67"/>
      <c r="B109" s="169" t="s">
        <v>182</v>
      </c>
      <c r="C109" s="122" t="s">
        <v>273</v>
      </c>
      <c r="D109" s="390">
        <f>IF(EAA!F15&gt;0,EAA!F15,EAA!F15*-1)</f>
        <v>0</v>
      </c>
      <c r="E109" s="94" t="s">
        <v>288</v>
      </c>
      <c r="F109" s="123">
        <f>IF(CSF!$B16&gt;0,CSF!$B16,CSF!$C16)</f>
        <v>0</v>
      </c>
      <c r="G109" s="386">
        <f t="shared" si="9"/>
        <v>0</v>
      </c>
      <c r="H109" s="449"/>
      <c r="I109" s="450"/>
      <c r="J109" s="450"/>
      <c r="K109" s="134"/>
      <c r="L109" s="135"/>
      <c r="M109" s="162" t="s">
        <v>182</v>
      </c>
    </row>
    <row r="110" spans="1:13" x14ac:dyDescent="0.2">
      <c r="A110" s="67"/>
      <c r="B110" s="169" t="s">
        <v>184</v>
      </c>
      <c r="C110" s="122" t="s">
        <v>273</v>
      </c>
      <c r="D110" s="390">
        <f>IF(EAA!F16&gt;0,EAA!F16,EAA!F16*-1)</f>
        <v>879935.48000000417</v>
      </c>
      <c r="E110" s="94" t="s">
        <v>288</v>
      </c>
      <c r="F110" s="123">
        <f>IF(CSF!$B17&gt;0,CSF!$B17,CSF!$C17)</f>
        <v>879935.48</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2.5" x14ac:dyDescent="0.2">
      <c r="A112" s="67"/>
      <c r="B112" s="169" t="s">
        <v>188</v>
      </c>
      <c r="C112" s="122" t="s">
        <v>273</v>
      </c>
      <c r="D112" s="390">
        <f>IF(EAA!F18&gt;0,EAA!F18,EAA!F18*-1)</f>
        <v>735033</v>
      </c>
      <c r="E112" s="94" t="s">
        <v>288</v>
      </c>
      <c r="F112" s="123">
        <f>IF(CSF!$B19&gt;0,CSF!$B19,CSF!$C19)</f>
        <v>735033</v>
      </c>
      <c r="G112" s="386">
        <f t="shared" si="9"/>
        <v>0</v>
      </c>
      <c r="H112" s="449"/>
      <c r="I112" s="450"/>
      <c r="J112" s="450"/>
      <c r="K112" s="134"/>
      <c r="L112" s="135"/>
      <c r="M112" s="162" t="s">
        <v>188</v>
      </c>
    </row>
    <row r="113" spans="1:13" x14ac:dyDescent="0.2">
      <c r="A113" s="67"/>
      <c r="B113" s="169" t="s">
        <v>190</v>
      </c>
      <c r="C113" s="122" t="s">
        <v>273</v>
      </c>
      <c r="D113" s="390">
        <f>IF(EAA!F19&gt;0,EAA!F19,EAA!F19*-1)</f>
        <v>151000</v>
      </c>
      <c r="E113" s="94" t="s">
        <v>288</v>
      </c>
      <c r="F113" s="123">
        <f>IF(CSF!$B20&gt;0,CSF!$B20,CSF!$C20)</f>
        <v>151000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13555706.640000001</v>
      </c>
      <c r="E116" s="91" t="s">
        <v>272</v>
      </c>
      <c r="F116" s="359">
        <f>IF(ESF!E26&gt;0,ESF!E26,ESF!E26*-1)</f>
        <v>13555706.640000001</v>
      </c>
      <c r="G116" s="384">
        <f>ROUND(D116-F116,2)</f>
        <v>0</v>
      </c>
      <c r="H116" s="90" t="s">
        <v>287</v>
      </c>
      <c r="I116" s="370">
        <f>IF(ADP!D34&gt;0,ADP!D34,ADP!D34*-1)</f>
        <v>13439365.58</v>
      </c>
      <c r="J116" s="91" t="s">
        <v>272</v>
      </c>
      <c r="K116" s="370">
        <f>IF(ESF!F26&gt;0,ESF!F26,ESF!F26*-1)</f>
        <v>13439365.58</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692</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5" customHeight="1" x14ac:dyDescent="0.2">
      <c r="A5" s="344" t="s">
        <v>623</v>
      </c>
      <c r="B5" s="345"/>
      <c r="C5" s="346">
        <f>C6+C7</f>
        <v>67940822</v>
      </c>
      <c r="D5" s="346">
        <f>D6+D7</f>
        <v>17618422.66</v>
      </c>
      <c r="E5" s="346">
        <f>E6+E7</f>
        <v>17618422.66</v>
      </c>
    </row>
    <row r="6" spans="1:5" ht="12.95" customHeight="1" x14ac:dyDescent="0.2">
      <c r="A6" s="347"/>
      <c r="B6" s="348" t="s">
        <v>624</v>
      </c>
      <c r="C6" s="349"/>
      <c r="D6" s="349"/>
      <c r="E6" s="349"/>
    </row>
    <row r="7" spans="1:5" ht="12.95" customHeight="1" x14ac:dyDescent="0.2">
      <c r="A7" s="347"/>
      <c r="B7" s="348" t="s">
        <v>625</v>
      </c>
      <c r="C7" s="349">
        <v>67940822</v>
      </c>
      <c r="D7" s="349">
        <v>17618422.66</v>
      </c>
      <c r="E7" s="349">
        <v>17618422.66</v>
      </c>
    </row>
    <row r="8" spans="1:5" x14ac:dyDescent="0.2">
      <c r="A8" s="347"/>
      <c r="B8" s="350"/>
      <c r="C8" s="349"/>
      <c r="D8" s="349"/>
      <c r="E8" s="349"/>
    </row>
    <row r="9" spans="1:5" ht="12.95" customHeight="1" x14ac:dyDescent="0.2">
      <c r="A9" s="344" t="s">
        <v>626</v>
      </c>
      <c r="B9" s="345"/>
      <c r="C9" s="346">
        <f>C10+C11</f>
        <v>67940822</v>
      </c>
      <c r="D9" s="346">
        <f>D10+D11</f>
        <v>12216006.68</v>
      </c>
      <c r="E9" s="346">
        <f>E10+E11</f>
        <v>12216006.68</v>
      </c>
    </row>
    <row r="10" spans="1:5" ht="12.95" customHeight="1" x14ac:dyDescent="0.2">
      <c r="A10" s="347"/>
      <c r="B10" s="348" t="s">
        <v>627</v>
      </c>
      <c r="C10" s="349"/>
      <c r="D10" s="349"/>
      <c r="E10" s="349"/>
    </row>
    <row r="11" spans="1:5" ht="12.95" customHeight="1" x14ac:dyDescent="0.2">
      <c r="A11" s="347"/>
      <c r="B11" s="348" t="s">
        <v>628</v>
      </c>
      <c r="C11" s="349">
        <v>67940822</v>
      </c>
      <c r="D11" s="349">
        <v>12216006.68</v>
      </c>
      <c r="E11" s="349">
        <v>12216006.68</v>
      </c>
    </row>
    <row r="12" spans="1:5" x14ac:dyDescent="0.2">
      <c r="A12" s="347"/>
      <c r="B12" s="350"/>
      <c r="C12" s="349"/>
      <c r="D12" s="349"/>
      <c r="E12" s="349"/>
    </row>
    <row r="13" spans="1:5" ht="12.95" customHeight="1" x14ac:dyDescent="0.2">
      <c r="A13" s="344" t="s">
        <v>629</v>
      </c>
      <c r="B13" s="345"/>
      <c r="C13" s="346">
        <f>C5-C9</f>
        <v>0</v>
      </c>
      <c r="D13" s="346">
        <f>D5-D9</f>
        <v>5402415.9800000004</v>
      </c>
      <c r="E13" s="346">
        <f>E5-E9</f>
        <v>5402415.9800000004</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5" customHeight="1" x14ac:dyDescent="0.2">
      <c r="A17" s="344" t="s">
        <v>630</v>
      </c>
      <c r="B17" s="345"/>
      <c r="C17" s="346">
        <f>C13</f>
        <v>0</v>
      </c>
      <c r="D17" s="346">
        <f>D13</f>
        <v>5402415.9800000004</v>
      </c>
      <c r="E17" s="346">
        <f>E13</f>
        <v>5402415.9800000004</v>
      </c>
    </row>
    <row r="18" spans="1:5" x14ac:dyDescent="0.2">
      <c r="A18" s="347"/>
      <c r="B18" s="348"/>
      <c r="C18" s="346"/>
      <c r="D18" s="346"/>
      <c r="E18" s="346"/>
    </row>
    <row r="19" spans="1:5" ht="12.95" customHeight="1" x14ac:dyDescent="0.2">
      <c r="A19" s="344" t="s">
        <v>631</v>
      </c>
      <c r="B19" s="345"/>
      <c r="C19" s="349">
        <v>0</v>
      </c>
      <c r="D19" s="349">
        <v>0</v>
      </c>
      <c r="E19" s="349">
        <v>0</v>
      </c>
    </row>
    <row r="20" spans="1:5" x14ac:dyDescent="0.2">
      <c r="A20" s="347"/>
      <c r="B20" s="348"/>
      <c r="C20" s="349"/>
      <c r="D20" s="349"/>
      <c r="E20" s="349"/>
    </row>
    <row r="21" spans="1:5" ht="12.95" customHeight="1" x14ac:dyDescent="0.2">
      <c r="A21" s="344" t="s">
        <v>632</v>
      </c>
      <c r="B21" s="345"/>
      <c r="C21" s="346">
        <f>C17+C19</f>
        <v>0</v>
      </c>
      <c r="D21" s="346">
        <f>D17+D19</f>
        <v>5402415.9800000004</v>
      </c>
      <c r="E21" s="346">
        <f>E17+E19</f>
        <v>5402415.9800000004</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5" customHeight="1" x14ac:dyDescent="0.2">
      <c r="A25" s="344" t="s">
        <v>633</v>
      </c>
      <c r="B25" s="345"/>
      <c r="C25" s="349"/>
      <c r="D25" s="349"/>
      <c r="E25" s="349"/>
    </row>
    <row r="26" spans="1:5" x14ac:dyDescent="0.2">
      <c r="A26" s="347"/>
      <c r="B26" s="348"/>
      <c r="C26" s="349"/>
      <c r="D26" s="349"/>
      <c r="E26" s="349"/>
    </row>
    <row r="27" spans="1:5" ht="12.95" customHeight="1" x14ac:dyDescent="0.2">
      <c r="A27" s="344" t="s">
        <v>634</v>
      </c>
      <c r="B27" s="345"/>
      <c r="C27" s="349"/>
      <c r="D27" s="349"/>
      <c r="E27" s="349"/>
    </row>
    <row r="28" spans="1:5" x14ac:dyDescent="0.2">
      <c r="A28" s="347"/>
      <c r="B28" s="348"/>
      <c r="C28" s="349"/>
      <c r="D28" s="349"/>
      <c r="E28" s="349"/>
    </row>
    <row r="29" spans="1:5" ht="12.95"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679</v>
      </c>
      <c r="B1" s="435"/>
      <c r="C1" s="435"/>
      <c r="D1" s="435"/>
      <c r="E1" s="435"/>
      <c r="F1" s="435"/>
      <c r="G1" s="435"/>
      <c r="H1" s="199" t="s">
        <v>0</v>
      </c>
      <c r="I1" s="356">
        <v>2026</v>
      </c>
    </row>
    <row r="2" spans="1:12" ht="14.65" customHeight="1" x14ac:dyDescent="0.2">
      <c r="A2" s="435" t="s">
        <v>636</v>
      </c>
      <c r="B2" s="435"/>
      <c r="C2" s="435"/>
      <c r="D2" s="435"/>
      <c r="E2" s="435"/>
      <c r="F2" s="435"/>
      <c r="G2" s="435"/>
      <c r="H2" s="200" t="s">
        <v>2</v>
      </c>
      <c r="I2" s="201" t="s">
        <v>3</v>
      </c>
    </row>
    <row r="3" spans="1:12" ht="14.65" customHeight="1" x14ac:dyDescent="0.2">
      <c r="A3" s="435" t="s">
        <v>680</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67940822</v>
      </c>
      <c r="F7" s="207" t="s">
        <v>328</v>
      </c>
      <c r="G7" s="207" t="s">
        <v>329</v>
      </c>
      <c r="H7" s="208">
        <f>+Memoria!C41</f>
        <v>67940822</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17618422.66</v>
      </c>
      <c r="F9" s="211" t="s">
        <v>328</v>
      </c>
      <c r="G9" s="211" t="s">
        <v>335</v>
      </c>
      <c r="H9" s="212">
        <f>+Memoria!C44+Memoria!C45</f>
        <v>-17618422.66</v>
      </c>
      <c r="I9" s="213">
        <f>ROUND(E9+H9,2)</f>
        <v>0</v>
      </c>
    </row>
    <row r="10" spans="1:12" ht="12" thickBot="1" x14ac:dyDescent="0.25">
      <c r="A10" s="210" t="s">
        <v>297</v>
      </c>
      <c r="B10" s="5" t="s">
        <v>336</v>
      </c>
      <c r="C10" s="211" t="s">
        <v>326</v>
      </c>
      <c r="D10" s="211" t="s">
        <v>337</v>
      </c>
      <c r="E10" s="212">
        <f>+EAI!F15</f>
        <v>17618422.66</v>
      </c>
      <c r="F10" s="211" t="s">
        <v>328</v>
      </c>
      <c r="G10" s="211" t="s">
        <v>338</v>
      </c>
      <c r="H10" s="212">
        <f>+Memoria!C45</f>
        <v>-17618422.66</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+CA!B13</f>
        <v>67940822</v>
      </c>
      <c r="F12" s="211" t="s">
        <v>328</v>
      </c>
      <c r="G12" s="211" t="s">
        <v>342</v>
      </c>
      <c r="H12" s="212">
        <f>+Memoria!C50</f>
        <v>-67940822</v>
      </c>
      <c r="I12" s="213">
        <f>+ROUND(E12+H12,2)</f>
        <v>0</v>
      </c>
      <c r="L12" s="467"/>
    </row>
    <row r="13" spans="1:12" ht="22.5" x14ac:dyDescent="0.2">
      <c r="A13" s="210" t="s">
        <v>302</v>
      </c>
      <c r="B13" s="5" t="s">
        <v>343</v>
      </c>
      <c r="C13" s="211" t="s">
        <v>340</v>
      </c>
      <c r="D13" s="211" t="s">
        <v>331</v>
      </c>
      <c r="E13" s="212">
        <f>+CA!C13</f>
        <v>4629439.22</v>
      </c>
      <c r="F13" s="211" t="s">
        <v>328</v>
      </c>
      <c r="G13" s="211" t="s">
        <v>344</v>
      </c>
      <c r="H13" s="212">
        <f>+Memoria!C52</f>
        <v>-4629439.22</v>
      </c>
      <c r="I13" s="213">
        <f>+ROUND(E13+H13,2)</f>
        <v>0</v>
      </c>
    </row>
    <row r="14" spans="1:12" x14ac:dyDescent="0.2">
      <c r="A14" s="210" t="s">
        <v>304</v>
      </c>
      <c r="B14" s="5" t="s">
        <v>345</v>
      </c>
      <c r="C14" s="211" t="s">
        <v>340</v>
      </c>
      <c r="D14" s="211" t="s">
        <v>334</v>
      </c>
      <c r="E14" s="212">
        <f>+CA!E13</f>
        <v>12216006.68</v>
      </c>
      <c r="F14" s="211" t="s">
        <v>328</v>
      </c>
      <c r="G14" s="211" t="s">
        <v>638</v>
      </c>
      <c r="H14" s="212">
        <f>+Memoria!C54+Memoria!C55+Memoria!C56</f>
        <v>12216006.68</v>
      </c>
      <c r="I14" s="213">
        <f>ROUND(E14-H14,2)</f>
        <v>0</v>
      </c>
    </row>
    <row r="15" spans="1:12" x14ac:dyDescent="0.2">
      <c r="A15" s="210" t="s">
        <v>306</v>
      </c>
      <c r="B15" s="5" t="s">
        <v>346</v>
      </c>
      <c r="C15" s="211" t="s">
        <v>340</v>
      </c>
      <c r="D15" s="211" t="s">
        <v>347</v>
      </c>
      <c r="E15" s="212">
        <f>+CA!F13</f>
        <v>12216006.68</v>
      </c>
      <c r="F15" s="211" t="s">
        <v>328</v>
      </c>
      <c r="G15" s="211">
        <v>8.25</v>
      </c>
      <c r="H15" s="212">
        <f>+Memoria!C56</f>
        <v>12216006.68</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67940822</v>
      </c>
      <c r="F17" s="211" t="s">
        <v>328</v>
      </c>
      <c r="G17" s="211" t="s">
        <v>342</v>
      </c>
      <c r="H17" s="212">
        <f>+Memoria!C50</f>
        <v>-67940822</v>
      </c>
      <c r="I17" s="213">
        <f>+ROUND(E17+H17,2)</f>
        <v>0</v>
      </c>
    </row>
    <row r="18" spans="1:9" ht="22.5" x14ac:dyDescent="0.2">
      <c r="A18" s="210" t="s">
        <v>302</v>
      </c>
      <c r="B18" s="5" t="s">
        <v>350</v>
      </c>
      <c r="C18" s="211" t="s">
        <v>349</v>
      </c>
      <c r="D18" s="211" t="s">
        <v>331</v>
      </c>
      <c r="E18" s="212">
        <f>+CTG!C15</f>
        <v>4629439.2200000007</v>
      </c>
      <c r="F18" s="211" t="s">
        <v>328</v>
      </c>
      <c r="G18" s="211" t="s">
        <v>344</v>
      </c>
      <c r="H18" s="212">
        <f>+Memoria!C52</f>
        <v>-4629439.22</v>
      </c>
      <c r="I18" s="213">
        <f>+ROUND(E18+H18,2)</f>
        <v>0</v>
      </c>
    </row>
    <row r="19" spans="1:9" x14ac:dyDescent="0.2">
      <c r="A19" s="210" t="s">
        <v>304</v>
      </c>
      <c r="B19" s="5" t="s">
        <v>351</v>
      </c>
      <c r="C19" s="211" t="s">
        <v>349</v>
      </c>
      <c r="D19" s="211" t="s">
        <v>334</v>
      </c>
      <c r="E19" s="212">
        <f>+CTG!E15</f>
        <v>12216006.68</v>
      </c>
      <c r="F19" s="211" t="s">
        <v>328</v>
      </c>
      <c r="G19" s="211" t="s">
        <v>638</v>
      </c>
      <c r="H19" s="212">
        <f>+Memoria!C54+Memoria!C55+Memoria!C56</f>
        <v>12216006.68</v>
      </c>
      <c r="I19" s="213">
        <f>+ROUND(E19-H19,2)</f>
        <v>0</v>
      </c>
    </row>
    <row r="20" spans="1:9" x14ac:dyDescent="0.2">
      <c r="A20" s="210" t="s">
        <v>306</v>
      </c>
      <c r="B20" s="5" t="s">
        <v>352</v>
      </c>
      <c r="C20" s="211" t="s">
        <v>349</v>
      </c>
      <c r="D20" s="211" t="s">
        <v>347</v>
      </c>
      <c r="E20" s="212">
        <f>+CTG!F15</f>
        <v>12216006.68</v>
      </c>
      <c r="F20" s="211" t="s">
        <v>328</v>
      </c>
      <c r="G20" s="211">
        <v>8.25</v>
      </c>
      <c r="H20" s="212">
        <f>+Memoria!C56</f>
        <v>12216006.68</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67940822</v>
      </c>
      <c r="F22" s="211" t="s">
        <v>328</v>
      </c>
      <c r="G22" s="211" t="s">
        <v>342</v>
      </c>
      <c r="H22" s="212">
        <f>+Memoria!C50</f>
        <v>-67940822</v>
      </c>
      <c r="I22" s="213">
        <f>+ROUND(E22+H22,2)</f>
        <v>0</v>
      </c>
    </row>
    <row r="23" spans="1:9" ht="22.5" x14ac:dyDescent="0.2">
      <c r="A23" s="210" t="s">
        <v>302</v>
      </c>
      <c r="B23" s="5" t="s">
        <v>355</v>
      </c>
      <c r="C23" s="211" t="s">
        <v>354</v>
      </c>
      <c r="D23" s="211" t="s">
        <v>331</v>
      </c>
      <c r="E23" s="212">
        <f>+COG!C76</f>
        <v>4629439.22</v>
      </c>
      <c r="F23" s="211" t="s">
        <v>328</v>
      </c>
      <c r="G23" s="211" t="s">
        <v>344</v>
      </c>
      <c r="H23" s="212">
        <f>+Memoria!C52</f>
        <v>-4629439.22</v>
      </c>
      <c r="I23" s="213">
        <f>+ROUND(E23+H23,2)</f>
        <v>0</v>
      </c>
    </row>
    <row r="24" spans="1:9" x14ac:dyDescent="0.2">
      <c r="A24" s="210" t="s">
        <v>304</v>
      </c>
      <c r="B24" s="5" t="s">
        <v>356</v>
      </c>
      <c r="C24" s="211" t="s">
        <v>354</v>
      </c>
      <c r="D24" s="211" t="s">
        <v>334</v>
      </c>
      <c r="E24" s="212">
        <f>+COG!E76</f>
        <v>12216006.68</v>
      </c>
      <c r="F24" s="211" t="s">
        <v>328</v>
      </c>
      <c r="G24" s="211" t="s">
        <v>638</v>
      </c>
      <c r="H24" s="212">
        <f>+Memoria!C54+Memoria!C55+Memoria!C56</f>
        <v>12216006.68</v>
      </c>
      <c r="I24" s="213">
        <f>+ROUND(E24-H24,2)</f>
        <v>0</v>
      </c>
    </row>
    <row r="25" spans="1:9" x14ac:dyDescent="0.2">
      <c r="A25" s="210" t="s">
        <v>306</v>
      </c>
      <c r="B25" s="5" t="s">
        <v>357</v>
      </c>
      <c r="C25" s="211" t="s">
        <v>354</v>
      </c>
      <c r="D25" s="211" t="s">
        <v>347</v>
      </c>
      <c r="E25" s="212">
        <f>+COG!F76</f>
        <v>12216006.68</v>
      </c>
      <c r="F25" s="211" t="s">
        <v>328</v>
      </c>
      <c r="G25" s="211">
        <v>8.25</v>
      </c>
      <c r="H25" s="212">
        <f>+Memoria!C56</f>
        <v>12216006.68</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67940822</v>
      </c>
      <c r="F27" s="211" t="s">
        <v>328</v>
      </c>
      <c r="G27" s="211" t="s">
        <v>342</v>
      </c>
      <c r="H27" s="212">
        <f>+Memoria!C50</f>
        <v>-67940822</v>
      </c>
      <c r="I27" s="213">
        <f>+ROUND(E27+H27,2)</f>
        <v>0</v>
      </c>
    </row>
    <row r="28" spans="1:9" ht="22.5" x14ac:dyDescent="0.2">
      <c r="A28" s="210" t="s">
        <v>302</v>
      </c>
      <c r="B28" s="5" t="s">
        <v>360</v>
      </c>
      <c r="C28" s="211" t="s">
        <v>359</v>
      </c>
      <c r="D28" s="211" t="s">
        <v>331</v>
      </c>
      <c r="E28" s="212">
        <f>+CFG!C41</f>
        <v>4629439.22</v>
      </c>
      <c r="F28" s="211" t="s">
        <v>328</v>
      </c>
      <c r="G28" s="211" t="s">
        <v>344</v>
      </c>
      <c r="H28" s="212">
        <f>+Memoria!C52</f>
        <v>-4629439.22</v>
      </c>
      <c r="I28" s="213">
        <f>+ROUND(E28+H28,2)</f>
        <v>0</v>
      </c>
    </row>
    <row r="29" spans="1:9" x14ac:dyDescent="0.2">
      <c r="A29" s="210" t="s">
        <v>304</v>
      </c>
      <c r="B29" s="5" t="s">
        <v>361</v>
      </c>
      <c r="C29" s="211" t="s">
        <v>359</v>
      </c>
      <c r="D29" s="211" t="s">
        <v>334</v>
      </c>
      <c r="E29" s="212">
        <f>+CFG!E41</f>
        <v>12216006.68</v>
      </c>
      <c r="F29" s="211" t="s">
        <v>328</v>
      </c>
      <c r="G29" s="211" t="s">
        <v>638</v>
      </c>
      <c r="H29" s="212">
        <f>+Memoria!C54+Memoria!C55+Memoria!C56</f>
        <v>12216006.68</v>
      </c>
      <c r="I29" s="213">
        <f>+ROUND(E29-H29,2)</f>
        <v>0</v>
      </c>
    </row>
    <row r="30" spans="1:9" x14ac:dyDescent="0.2">
      <c r="A30" s="210" t="s">
        <v>306</v>
      </c>
      <c r="B30" s="5" t="s">
        <v>362</v>
      </c>
      <c r="C30" s="211" t="s">
        <v>359</v>
      </c>
      <c r="D30" s="211" t="s">
        <v>347</v>
      </c>
      <c r="E30" s="212">
        <f>+CFG!F41</f>
        <v>12216006.68</v>
      </c>
      <c r="F30" s="211" t="s">
        <v>328</v>
      </c>
      <c r="G30" s="211">
        <v>8.25</v>
      </c>
      <c r="H30" s="212">
        <f>+Memoria!C56</f>
        <v>12216006.68</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67940822</v>
      </c>
      <c r="F39" s="211" t="s">
        <v>328</v>
      </c>
      <c r="G39" s="211" t="s">
        <v>342</v>
      </c>
      <c r="H39" s="212">
        <f>+Memoria!C50</f>
        <v>-67940822</v>
      </c>
      <c r="I39" s="213">
        <f>+ROUND(E39+H39,2)</f>
        <v>0</v>
      </c>
    </row>
    <row r="40" spans="1:9" ht="22.5" x14ac:dyDescent="0.2">
      <c r="A40" s="210" t="s">
        <v>315</v>
      </c>
      <c r="B40" s="65" t="s">
        <v>380</v>
      </c>
      <c r="C40" s="211" t="s">
        <v>379</v>
      </c>
      <c r="D40" s="211" t="s">
        <v>331</v>
      </c>
      <c r="E40" s="212">
        <f>+GCP!C37</f>
        <v>4629439.2200000007</v>
      </c>
      <c r="F40" s="211" t="s">
        <v>328</v>
      </c>
      <c r="G40" s="211" t="s">
        <v>344</v>
      </c>
      <c r="H40" s="212">
        <f>+Memoria!C52</f>
        <v>-4629439.22</v>
      </c>
      <c r="I40" s="213">
        <f>+ROUND(E40+H40,2)</f>
        <v>0</v>
      </c>
    </row>
    <row r="41" spans="1:9" x14ac:dyDescent="0.2">
      <c r="A41" s="210" t="s">
        <v>316</v>
      </c>
      <c r="B41" s="65" t="s">
        <v>381</v>
      </c>
      <c r="C41" s="211" t="s">
        <v>379</v>
      </c>
      <c r="D41" s="211" t="s">
        <v>334</v>
      </c>
      <c r="E41" s="212">
        <f>+GCP!E37</f>
        <v>12216006.68</v>
      </c>
      <c r="F41" s="211" t="s">
        <v>328</v>
      </c>
      <c r="G41" s="211" t="s">
        <v>638</v>
      </c>
      <c r="H41" s="212">
        <f>+Memoria!C54+Memoria!C55+Memoria!C56</f>
        <v>12216006.68</v>
      </c>
      <c r="I41" s="213">
        <f t="shared" ref="I41:I42" si="0">ROUND(E41-H41,2)</f>
        <v>0</v>
      </c>
    </row>
    <row r="42" spans="1:9" x14ac:dyDescent="0.2">
      <c r="A42" s="210" t="s">
        <v>317</v>
      </c>
      <c r="B42" s="65" t="s">
        <v>382</v>
      </c>
      <c r="C42" s="211" t="s">
        <v>379</v>
      </c>
      <c r="D42" s="211" t="s">
        <v>347</v>
      </c>
      <c r="E42" s="212">
        <f>+GCP!F37</f>
        <v>12216006.68</v>
      </c>
      <c r="F42" s="211" t="s">
        <v>328</v>
      </c>
      <c r="G42" s="211">
        <v>8.25</v>
      </c>
      <c r="H42" s="212">
        <f>+Memoria!C56</f>
        <v>12216006.68</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67940822</v>
      </c>
      <c r="F44" s="211" t="s">
        <v>340</v>
      </c>
      <c r="G44" s="211" t="s">
        <v>341</v>
      </c>
      <c r="H44" s="212">
        <f>+CA!B13</f>
        <v>67940822</v>
      </c>
      <c r="I44" s="213">
        <f>+ROUND(E44-H44,2)</f>
        <v>0</v>
      </c>
    </row>
    <row r="45" spans="1:9" ht="22.5" x14ac:dyDescent="0.2">
      <c r="A45" s="210" t="s">
        <v>315</v>
      </c>
      <c r="B45" s="65" t="s">
        <v>384</v>
      </c>
      <c r="C45" s="211" t="s">
        <v>379</v>
      </c>
      <c r="D45" s="211" t="s">
        <v>331</v>
      </c>
      <c r="E45" s="212">
        <f>+GCP!C37</f>
        <v>4629439.2200000007</v>
      </c>
      <c r="F45" s="211" t="s">
        <v>340</v>
      </c>
      <c r="G45" s="211" t="s">
        <v>331</v>
      </c>
      <c r="H45" s="212">
        <f>+CA!C13</f>
        <v>4629439.22</v>
      </c>
      <c r="I45" s="213">
        <f>+ROUND(E45-H45,2)</f>
        <v>0</v>
      </c>
    </row>
    <row r="46" spans="1:9" x14ac:dyDescent="0.2">
      <c r="A46" s="210" t="s">
        <v>316</v>
      </c>
      <c r="B46" s="65" t="s">
        <v>385</v>
      </c>
      <c r="C46" s="211" t="s">
        <v>379</v>
      </c>
      <c r="D46" s="211" t="s">
        <v>334</v>
      </c>
      <c r="E46" s="212">
        <f>+GCP!E37</f>
        <v>12216006.68</v>
      </c>
      <c r="F46" s="211" t="s">
        <v>340</v>
      </c>
      <c r="G46" s="211" t="s">
        <v>334</v>
      </c>
      <c r="H46" s="212">
        <f>+CA!E13</f>
        <v>12216006.68</v>
      </c>
      <c r="I46" s="213">
        <f>ROUND(E46-H46,2)</f>
        <v>0</v>
      </c>
    </row>
    <row r="47" spans="1:9" x14ac:dyDescent="0.2">
      <c r="A47" s="210" t="s">
        <v>317</v>
      </c>
      <c r="B47" s="65" t="s">
        <v>386</v>
      </c>
      <c r="C47" s="211" t="s">
        <v>379</v>
      </c>
      <c r="D47" s="211" t="s">
        <v>347</v>
      </c>
      <c r="E47" s="212">
        <f>+GCP!F37</f>
        <v>12216006.68</v>
      </c>
      <c r="F47" s="211" t="s">
        <v>340</v>
      </c>
      <c r="G47" s="211" t="s">
        <v>347</v>
      </c>
      <c r="H47" s="212">
        <f>+CA!F13</f>
        <v>12216006.68</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67940822</v>
      </c>
      <c r="F49" s="211" t="s">
        <v>349</v>
      </c>
      <c r="G49" s="211" t="s">
        <v>341</v>
      </c>
      <c r="H49" s="212">
        <f>+CTG!B15</f>
        <v>67940822</v>
      </c>
      <c r="I49" s="213">
        <f>+ROUND(E49-H49,2)</f>
        <v>0</v>
      </c>
    </row>
    <row r="50" spans="1:9" ht="22.5" x14ac:dyDescent="0.2">
      <c r="A50" s="210" t="s">
        <v>315</v>
      </c>
      <c r="B50" s="65" t="s">
        <v>388</v>
      </c>
      <c r="C50" s="211" t="s">
        <v>379</v>
      </c>
      <c r="D50" s="211" t="s">
        <v>331</v>
      </c>
      <c r="E50" s="212">
        <f>+GCP!C37</f>
        <v>4629439.2200000007</v>
      </c>
      <c r="F50" s="211" t="s">
        <v>349</v>
      </c>
      <c r="G50" s="211" t="s">
        <v>331</v>
      </c>
      <c r="H50" s="212">
        <f>+CTG!C15</f>
        <v>4629439.2200000007</v>
      </c>
      <c r="I50" s="213">
        <f>+ROUND(E50-H50,2)</f>
        <v>0</v>
      </c>
    </row>
    <row r="51" spans="1:9" x14ac:dyDescent="0.2">
      <c r="A51" s="210" t="s">
        <v>316</v>
      </c>
      <c r="B51" s="65" t="s">
        <v>389</v>
      </c>
      <c r="C51" s="211" t="s">
        <v>379</v>
      </c>
      <c r="D51" s="211" t="s">
        <v>334</v>
      </c>
      <c r="E51" s="212">
        <f>+GCP!E37</f>
        <v>12216006.68</v>
      </c>
      <c r="F51" s="211" t="s">
        <v>349</v>
      </c>
      <c r="G51" s="211" t="s">
        <v>334</v>
      </c>
      <c r="H51" s="212">
        <f>+CTG!E15</f>
        <v>12216006.68</v>
      </c>
      <c r="I51" s="213">
        <f>ROUND(E51-H51,2)</f>
        <v>0</v>
      </c>
    </row>
    <row r="52" spans="1:9" x14ac:dyDescent="0.2">
      <c r="A52" s="210" t="s">
        <v>317</v>
      </c>
      <c r="B52" s="65" t="s">
        <v>390</v>
      </c>
      <c r="C52" s="211" t="s">
        <v>379</v>
      </c>
      <c r="D52" s="211" t="s">
        <v>347</v>
      </c>
      <c r="E52" s="212">
        <f>+GCP!F37</f>
        <v>12216006.68</v>
      </c>
      <c r="F52" s="211" t="s">
        <v>349</v>
      </c>
      <c r="G52" s="211" t="s">
        <v>347</v>
      </c>
      <c r="H52" s="212">
        <f>+CTG!F15</f>
        <v>12216006.68</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67940822</v>
      </c>
      <c r="F54" s="211" t="s">
        <v>354</v>
      </c>
      <c r="G54" s="211" t="s">
        <v>341</v>
      </c>
      <c r="H54" s="212">
        <f>+COG!B76</f>
        <v>67940822</v>
      </c>
      <c r="I54" s="213">
        <f>+ROUND(E54-H54,2)</f>
        <v>0</v>
      </c>
    </row>
    <row r="55" spans="1:9" ht="22.5" x14ac:dyDescent="0.2">
      <c r="A55" s="210" t="s">
        <v>315</v>
      </c>
      <c r="B55" s="65" t="s">
        <v>392</v>
      </c>
      <c r="C55" s="211" t="s">
        <v>379</v>
      </c>
      <c r="D55" s="211" t="s">
        <v>331</v>
      </c>
      <c r="E55" s="212">
        <f>+GCP!C37</f>
        <v>4629439.2200000007</v>
      </c>
      <c r="F55" s="211" t="s">
        <v>354</v>
      </c>
      <c r="G55" s="211" t="s">
        <v>331</v>
      </c>
      <c r="H55" s="212">
        <f>+COG!C76</f>
        <v>4629439.22</v>
      </c>
      <c r="I55" s="213">
        <f>+ROUND(E55-H55,2)</f>
        <v>0</v>
      </c>
    </row>
    <row r="56" spans="1:9" x14ac:dyDescent="0.2">
      <c r="A56" s="210" t="s">
        <v>316</v>
      </c>
      <c r="B56" s="65" t="s">
        <v>393</v>
      </c>
      <c r="C56" s="211" t="s">
        <v>379</v>
      </c>
      <c r="D56" s="211" t="s">
        <v>334</v>
      </c>
      <c r="E56" s="212">
        <f>+GCP!E37</f>
        <v>12216006.68</v>
      </c>
      <c r="F56" s="211" t="s">
        <v>354</v>
      </c>
      <c r="G56" s="211" t="s">
        <v>334</v>
      </c>
      <c r="H56" s="212">
        <f>+CTG!E15</f>
        <v>12216006.68</v>
      </c>
      <c r="I56" s="213">
        <f>ROUND(E56-H56,2)</f>
        <v>0</v>
      </c>
    </row>
    <row r="57" spans="1:9" x14ac:dyDescent="0.2">
      <c r="A57" s="210" t="s">
        <v>317</v>
      </c>
      <c r="B57" s="65" t="s">
        <v>394</v>
      </c>
      <c r="C57" s="211" t="s">
        <v>379</v>
      </c>
      <c r="D57" s="211" t="s">
        <v>347</v>
      </c>
      <c r="E57" s="212">
        <f>+GCP!F37</f>
        <v>12216006.68</v>
      </c>
      <c r="F57" s="211" t="s">
        <v>354</v>
      </c>
      <c r="G57" s="211" t="s">
        <v>347</v>
      </c>
      <c r="H57" s="212">
        <f>+COG!F76</f>
        <v>12216006.68</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67940822</v>
      </c>
      <c r="F59" s="211" t="s">
        <v>359</v>
      </c>
      <c r="G59" s="211" t="s">
        <v>341</v>
      </c>
      <c r="H59" s="212">
        <f>+CFG!B41</f>
        <v>67940822</v>
      </c>
      <c r="I59" s="213">
        <f>+ROUND(E59-H59,2)</f>
        <v>0</v>
      </c>
    </row>
    <row r="60" spans="1:9" ht="22.5" x14ac:dyDescent="0.2">
      <c r="A60" s="210" t="s">
        <v>315</v>
      </c>
      <c r="B60" s="65" t="s">
        <v>396</v>
      </c>
      <c r="C60" s="211" t="s">
        <v>379</v>
      </c>
      <c r="D60" s="211" t="s">
        <v>331</v>
      </c>
      <c r="E60" s="212">
        <f>+GCP!C37</f>
        <v>4629439.2200000007</v>
      </c>
      <c r="F60" s="211" t="s">
        <v>359</v>
      </c>
      <c r="G60" s="211" t="s">
        <v>331</v>
      </c>
      <c r="H60" s="212">
        <f>+CFG!C41</f>
        <v>4629439.22</v>
      </c>
      <c r="I60" s="213">
        <f>+ROUND(E60-H60,2)</f>
        <v>0</v>
      </c>
    </row>
    <row r="61" spans="1:9" x14ac:dyDescent="0.2">
      <c r="A61" s="210" t="s">
        <v>316</v>
      </c>
      <c r="B61" s="65" t="s">
        <v>397</v>
      </c>
      <c r="C61" s="211" t="s">
        <v>379</v>
      </c>
      <c r="D61" s="211" t="s">
        <v>334</v>
      </c>
      <c r="E61" s="212">
        <f>+GCP!E37</f>
        <v>12216006.68</v>
      </c>
      <c r="F61" s="211" t="s">
        <v>359</v>
      </c>
      <c r="G61" s="211" t="s">
        <v>334</v>
      </c>
      <c r="H61" s="212">
        <f>+CFG!E41</f>
        <v>12216006.68</v>
      </c>
      <c r="I61" s="213">
        <f>ROUND(E61-H61,2)</f>
        <v>0</v>
      </c>
    </row>
    <row r="62" spans="1:9" x14ac:dyDescent="0.2">
      <c r="A62" s="214" t="s">
        <v>317</v>
      </c>
      <c r="B62" s="215" t="s">
        <v>398</v>
      </c>
      <c r="C62" s="216" t="s">
        <v>379</v>
      </c>
      <c r="D62" s="216" t="s">
        <v>347</v>
      </c>
      <c r="E62" s="217">
        <f>+GCP!F37</f>
        <v>12216006.68</v>
      </c>
      <c r="F62" s="216" t="s">
        <v>359</v>
      </c>
      <c r="G62" s="216" t="s">
        <v>347</v>
      </c>
      <c r="H62" s="217">
        <f>+CFG!F41</f>
        <v>12216006.68</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664</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17563470.48</v>
      </c>
      <c r="C4" s="420">
        <f>SUM(C5:C11)</f>
        <v>63811416.520000003</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17563470.48</v>
      </c>
      <c r="C11" s="422">
        <v>63811416.520000003</v>
      </c>
      <c r="D11" s="15">
        <v>4170</v>
      </c>
    </row>
    <row r="12" spans="1:4" ht="11.25" customHeight="1" x14ac:dyDescent="0.25">
      <c r="A12" s="14"/>
      <c r="B12" s="423"/>
      <c r="C12" s="423"/>
      <c r="D12" s="12"/>
    </row>
    <row r="13" spans="1:4" ht="33.75" x14ac:dyDescent="0.25">
      <c r="A13" s="13" t="s">
        <v>111</v>
      </c>
      <c r="B13" s="420">
        <f>SUM(B14:B15)</f>
        <v>0</v>
      </c>
      <c r="C13" s="420">
        <f>SUM(C14:C15)</f>
        <v>2499999.9900000002</v>
      </c>
      <c r="D13" s="12"/>
    </row>
    <row r="14" spans="1:4" ht="22.5" x14ac:dyDescent="0.2">
      <c r="A14" s="14" t="s">
        <v>112</v>
      </c>
      <c r="B14" s="422">
        <v>0</v>
      </c>
      <c r="C14" s="422">
        <v>0</v>
      </c>
      <c r="D14" s="15">
        <v>4210</v>
      </c>
    </row>
    <row r="15" spans="1:4" ht="11.25" customHeight="1" x14ac:dyDescent="0.2">
      <c r="A15" s="14" t="s">
        <v>113</v>
      </c>
      <c r="B15" s="422">
        <v>0</v>
      </c>
      <c r="C15" s="422">
        <v>2499999.9900000002</v>
      </c>
      <c r="D15" s="15">
        <v>4220</v>
      </c>
    </row>
    <row r="16" spans="1:4" ht="11.25" customHeight="1" x14ac:dyDescent="0.25">
      <c r="A16" s="14"/>
      <c r="B16" s="423"/>
      <c r="C16" s="423"/>
      <c r="D16" s="12"/>
    </row>
    <row r="17" spans="1:5" ht="11.25" customHeight="1" x14ac:dyDescent="0.25">
      <c r="A17" s="13" t="s">
        <v>114</v>
      </c>
      <c r="B17" s="420">
        <f>SUM(B18:B22)</f>
        <v>54952.18</v>
      </c>
      <c r="C17" s="420">
        <f>SUM(C18:C22)</f>
        <v>227258.56000000003</v>
      </c>
      <c r="D17" s="12"/>
    </row>
    <row r="18" spans="1:5" ht="11.25" customHeight="1" x14ac:dyDescent="0.2">
      <c r="A18" s="14" t="s">
        <v>115</v>
      </c>
      <c r="B18" s="422">
        <v>0</v>
      </c>
      <c r="C18" s="422">
        <v>0</v>
      </c>
      <c r="D18" s="15">
        <v>4310</v>
      </c>
    </row>
    <row r="19" spans="1:5" ht="11.25" customHeight="1" x14ac:dyDescent="0.2">
      <c r="A19" s="14" t="s">
        <v>116</v>
      </c>
      <c r="B19" s="422">
        <v>0</v>
      </c>
      <c r="C19" s="422">
        <v>5377.14</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54952.18</v>
      </c>
      <c r="C22" s="422">
        <v>221881.42</v>
      </c>
      <c r="D22" s="15">
        <v>4390</v>
      </c>
    </row>
    <row r="23" spans="1:5" ht="11.25" customHeight="1" x14ac:dyDescent="0.25">
      <c r="A23" s="16"/>
      <c r="B23" s="423"/>
      <c r="C23" s="423"/>
      <c r="D23" s="12"/>
    </row>
    <row r="24" spans="1:5" ht="11.25" customHeight="1" x14ac:dyDescent="0.25">
      <c r="A24" s="10" t="s">
        <v>120</v>
      </c>
      <c r="B24" s="420">
        <f>SUM(B4+B13+B17)</f>
        <v>17618422.66</v>
      </c>
      <c r="C24" s="421">
        <f>SUM(C4+C13+C17)</f>
        <v>66538675.070000008</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10875649.57</v>
      </c>
      <c r="C27" s="420">
        <f>SUM(C28:C30)</f>
        <v>52430392.890000001</v>
      </c>
      <c r="D27" s="12"/>
    </row>
    <row r="28" spans="1:5" ht="11.25" customHeight="1" x14ac:dyDescent="0.2">
      <c r="A28" s="14" t="s">
        <v>123</v>
      </c>
      <c r="B28" s="422">
        <v>4053694.81</v>
      </c>
      <c r="C28" s="422">
        <v>18221423.140000001</v>
      </c>
      <c r="D28" s="15">
        <v>5110</v>
      </c>
    </row>
    <row r="29" spans="1:5" ht="11.25" customHeight="1" x14ac:dyDescent="0.2">
      <c r="A29" s="14" t="s">
        <v>124</v>
      </c>
      <c r="B29" s="422">
        <v>1852887.61</v>
      </c>
      <c r="C29" s="422">
        <v>9364111.3000000007</v>
      </c>
      <c r="D29" s="15">
        <v>5120</v>
      </c>
    </row>
    <row r="30" spans="1:5" ht="11.25" customHeight="1" x14ac:dyDescent="0.2">
      <c r="A30" s="14" t="s">
        <v>125</v>
      </c>
      <c r="B30" s="422">
        <v>4969067.1500000004</v>
      </c>
      <c r="C30" s="422">
        <v>24844858.449999999</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3220624.46</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3220624.46</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735033</v>
      </c>
      <c r="C55" s="420">
        <f>SUM(C56:C59)</f>
        <v>2927019.49</v>
      </c>
      <c r="D55" s="12"/>
    </row>
    <row r="56" spans="1:5" ht="11.25" customHeight="1" x14ac:dyDescent="0.2">
      <c r="A56" s="14" t="s">
        <v>147</v>
      </c>
      <c r="B56" s="422">
        <v>735033</v>
      </c>
      <c r="C56" s="422">
        <v>2821506.83</v>
      </c>
      <c r="D56" s="15">
        <v>5510</v>
      </c>
    </row>
    <row r="57" spans="1:5" ht="11.25" customHeight="1" x14ac:dyDescent="0.2">
      <c r="A57" s="14" t="s">
        <v>148</v>
      </c>
      <c r="B57" s="422">
        <v>0</v>
      </c>
      <c r="C57" s="422">
        <v>0</v>
      </c>
      <c r="D57" s="15">
        <v>5520</v>
      </c>
    </row>
    <row r="58" spans="1:5" ht="11.25" customHeight="1" x14ac:dyDescent="0.2">
      <c r="A58" s="14" t="s">
        <v>149</v>
      </c>
      <c r="B58" s="422">
        <v>0</v>
      </c>
      <c r="C58" s="422">
        <v>105512.66</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11610682.57</v>
      </c>
      <c r="C64" s="421">
        <f>C61+C55+C48+C43+C32+C27</f>
        <v>58578036.840000004</v>
      </c>
      <c r="D64" s="12"/>
      <c r="E64" s="12"/>
    </row>
    <row r="65" spans="1:8" ht="11.25" customHeight="1" x14ac:dyDescent="0.25">
      <c r="A65" s="17"/>
      <c r="B65" s="423"/>
      <c r="C65" s="423"/>
      <c r="D65" s="12"/>
      <c r="E65" s="12"/>
    </row>
    <row r="66" spans="1:8" s="12" customFormat="1" x14ac:dyDescent="0.25">
      <c r="A66" s="10" t="s">
        <v>659</v>
      </c>
      <c r="B66" s="420">
        <f>B24-B64</f>
        <v>6007740.0899999999</v>
      </c>
      <c r="C66" s="420">
        <f>C24-C64</f>
        <v>7960638.2300000042</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665</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13867242.029999999</v>
      </c>
      <c r="C5" s="414">
        <v>9591219.3900000006</v>
      </c>
      <c r="D5" s="14" t="s">
        <v>161</v>
      </c>
      <c r="E5" s="414">
        <v>13555706.640000001</v>
      </c>
      <c r="F5" s="417">
        <v>13439365.58</v>
      </c>
    </row>
    <row r="6" spans="1:6" x14ac:dyDescent="0.25">
      <c r="A6" s="14" t="s">
        <v>162</v>
      </c>
      <c r="B6" s="414">
        <v>28335060.050000001</v>
      </c>
      <c r="C6" s="414">
        <v>27092325.649999999</v>
      </c>
      <c r="D6" s="14" t="s">
        <v>163</v>
      </c>
      <c r="E6" s="414">
        <v>0</v>
      </c>
      <c r="F6" s="417">
        <v>0</v>
      </c>
    </row>
    <row r="7" spans="1:6" x14ac:dyDescent="0.25">
      <c r="A7" s="14" t="s">
        <v>164</v>
      </c>
      <c r="B7" s="414">
        <v>0</v>
      </c>
      <c r="C7" s="414">
        <v>0</v>
      </c>
      <c r="D7" s="14" t="s">
        <v>165</v>
      </c>
      <c r="E7" s="414">
        <v>0</v>
      </c>
      <c r="F7" s="417">
        <v>0</v>
      </c>
    </row>
    <row r="8" spans="1:6" x14ac:dyDescent="0.25">
      <c r="A8" s="14" t="s">
        <v>166</v>
      </c>
      <c r="B8" s="414">
        <v>0</v>
      </c>
      <c r="C8" s="414">
        <v>0</v>
      </c>
      <c r="D8" s="14" t="s">
        <v>167</v>
      </c>
      <c r="E8" s="414">
        <v>0</v>
      </c>
      <c r="F8" s="417">
        <v>0</v>
      </c>
    </row>
    <row r="9" spans="1:6" x14ac:dyDescent="0.25">
      <c r="A9" s="14" t="s">
        <v>168</v>
      </c>
      <c r="B9" s="414">
        <v>1476951.72</v>
      </c>
      <c r="C9" s="414">
        <v>1167530.0900000001</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47935.87</v>
      </c>
      <c r="C11" s="414">
        <v>47935.87</v>
      </c>
      <c r="D11" s="14" t="s">
        <v>173</v>
      </c>
      <c r="E11" s="414">
        <v>0</v>
      </c>
      <c r="F11" s="417">
        <v>0</v>
      </c>
    </row>
    <row r="12" spans="1:6" x14ac:dyDescent="0.25">
      <c r="A12" s="16"/>
      <c r="B12" s="415"/>
      <c r="C12" s="415"/>
      <c r="D12" s="14" t="s">
        <v>174</v>
      </c>
      <c r="E12" s="414">
        <v>0</v>
      </c>
      <c r="F12" s="417">
        <v>0</v>
      </c>
    </row>
    <row r="13" spans="1:6" x14ac:dyDescent="0.25">
      <c r="A13" s="13" t="s">
        <v>175</v>
      </c>
      <c r="B13" s="416">
        <f>SUM(B5:B11)</f>
        <v>43727189.669999994</v>
      </c>
      <c r="C13" s="416">
        <f>SUM(C5:C11)</f>
        <v>37899011</v>
      </c>
      <c r="D13" s="16"/>
      <c r="E13" s="418"/>
      <c r="F13" s="419"/>
    </row>
    <row r="14" spans="1:6" x14ac:dyDescent="0.25">
      <c r="A14" s="17"/>
      <c r="B14" s="415"/>
      <c r="C14" s="415"/>
      <c r="D14" s="13" t="s">
        <v>176</v>
      </c>
      <c r="E14" s="420">
        <f>SUM(E5:E12)</f>
        <v>13555706.640000001</v>
      </c>
      <c r="F14" s="421">
        <f>SUM(F5:F12)</f>
        <v>13439365.58</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21393894.300000001</v>
      </c>
      <c r="C18" s="414">
        <v>21393894.300000001</v>
      </c>
      <c r="D18" s="14" t="s">
        <v>183</v>
      </c>
      <c r="E18" s="414">
        <v>0</v>
      </c>
      <c r="F18" s="417">
        <v>0</v>
      </c>
    </row>
    <row r="19" spans="1:6" x14ac:dyDescent="0.25">
      <c r="A19" s="14" t="s">
        <v>184</v>
      </c>
      <c r="B19" s="414">
        <v>34201585.450000003</v>
      </c>
      <c r="C19" s="414">
        <v>33321649.969999999</v>
      </c>
      <c r="D19" s="14" t="s">
        <v>185</v>
      </c>
      <c r="E19" s="414">
        <v>0</v>
      </c>
      <c r="F19" s="417">
        <v>0</v>
      </c>
    </row>
    <row r="20" spans="1:6" x14ac:dyDescent="0.25">
      <c r="A20" s="14" t="s">
        <v>186</v>
      </c>
      <c r="B20" s="414">
        <v>2714771</v>
      </c>
      <c r="C20" s="414">
        <v>2714771</v>
      </c>
      <c r="D20" s="14" t="s">
        <v>187</v>
      </c>
      <c r="E20" s="414">
        <v>0</v>
      </c>
      <c r="F20" s="417">
        <v>0</v>
      </c>
    </row>
    <row r="21" spans="1:6" ht="22.5" x14ac:dyDescent="0.25">
      <c r="A21" s="14" t="s">
        <v>188</v>
      </c>
      <c r="B21" s="414">
        <v>-21248529.359999999</v>
      </c>
      <c r="C21" s="414">
        <v>-20513496.359999999</v>
      </c>
      <c r="D21" s="14" t="s">
        <v>189</v>
      </c>
      <c r="E21" s="414">
        <v>0</v>
      </c>
      <c r="F21" s="417">
        <v>0</v>
      </c>
    </row>
    <row r="22" spans="1:6" x14ac:dyDescent="0.25">
      <c r="A22" s="14" t="s">
        <v>190</v>
      </c>
      <c r="B22" s="414">
        <v>2260153.5099999998</v>
      </c>
      <c r="C22" s="414">
        <v>2109153.5099999998</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39321874.899999999</v>
      </c>
      <c r="C26" s="416">
        <f>SUM(C16:C24)</f>
        <v>39025972.419999994</v>
      </c>
      <c r="D26" s="24" t="s">
        <v>196</v>
      </c>
      <c r="E26" s="416">
        <f>SUM(E24+E14)</f>
        <v>13555706.640000001</v>
      </c>
      <c r="F26" s="421">
        <f>SUM(F14+F24)</f>
        <v>13439365.58</v>
      </c>
    </row>
    <row r="27" spans="1:6" x14ac:dyDescent="0.25">
      <c r="A27" s="17"/>
      <c r="B27" s="415"/>
      <c r="C27" s="415"/>
      <c r="D27" s="17"/>
      <c r="E27" s="415"/>
      <c r="F27" s="419"/>
    </row>
    <row r="28" spans="1:6" x14ac:dyDescent="0.25">
      <c r="A28" s="13" t="s">
        <v>197</v>
      </c>
      <c r="B28" s="416">
        <f>B13+B26</f>
        <v>83049064.569999993</v>
      </c>
      <c r="C28" s="416">
        <f>C13+C26</f>
        <v>76924983.419999987</v>
      </c>
      <c r="D28" s="10" t="s">
        <v>198</v>
      </c>
      <c r="E28" s="415"/>
      <c r="F28" s="415"/>
    </row>
    <row r="29" spans="1:6" x14ac:dyDescent="0.25">
      <c r="A29" s="25"/>
      <c r="B29" s="26"/>
      <c r="C29" s="23"/>
      <c r="D29" s="17"/>
      <c r="E29" s="415"/>
      <c r="F29" s="415"/>
    </row>
    <row r="30" spans="1:6" x14ac:dyDescent="0.25">
      <c r="A30" s="25"/>
      <c r="B30" s="26"/>
      <c r="C30" s="23"/>
      <c r="D30" s="13" t="s">
        <v>199</v>
      </c>
      <c r="E30" s="416">
        <f>SUM(E31:E33)</f>
        <v>6486187.7999999998</v>
      </c>
      <c r="F30" s="421">
        <f>SUM(F31:F33)</f>
        <v>6486187.7999999998</v>
      </c>
    </row>
    <row r="31" spans="1:6" x14ac:dyDescent="0.25">
      <c r="A31" s="25"/>
      <c r="B31" s="26"/>
      <c r="C31" s="23"/>
      <c r="D31" s="14" t="s">
        <v>138</v>
      </c>
      <c r="E31" s="414">
        <v>6486187.7999999998</v>
      </c>
      <c r="F31" s="417">
        <v>6486187.7999999998</v>
      </c>
    </row>
    <row r="32" spans="1:6" x14ac:dyDescent="0.25">
      <c r="A32" s="25"/>
      <c r="B32" s="26"/>
      <c r="C32" s="23"/>
      <c r="D32" s="14" t="s">
        <v>200</v>
      </c>
      <c r="E32" s="414">
        <v>0</v>
      </c>
      <c r="F32" s="417">
        <v>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63007170.129999995</v>
      </c>
      <c r="F35" s="421">
        <f>SUM(F36:F40)</f>
        <v>56999430.040000007</v>
      </c>
    </row>
    <row r="36" spans="1:6" x14ac:dyDescent="0.25">
      <c r="A36" s="25"/>
      <c r="B36" s="26"/>
      <c r="C36" s="23"/>
      <c r="D36" s="14" t="s">
        <v>660</v>
      </c>
      <c r="E36" s="414">
        <v>6007740.0899999999</v>
      </c>
      <c r="F36" s="417">
        <v>7960638.2300000004</v>
      </c>
    </row>
    <row r="37" spans="1:6" x14ac:dyDescent="0.25">
      <c r="A37" s="25"/>
      <c r="B37" s="26"/>
      <c r="C37" s="23"/>
      <c r="D37" s="14" t="s">
        <v>204</v>
      </c>
      <c r="E37" s="414">
        <v>56999430.039999999</v>
      </c>
      <c r="F37" s="417">
        <v>49038791.810000002</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69493357.929999992</v>
      </c>
      <c r="F46" s="421">
        <f>SUM(F42+F35+F30)</f>
        <v>63485617.840000004</v>
      </c>
    </row>
    <row r="47" spans="1:6" x14ac:dyDescent="0.25">
      <c r="A47" s="25"/>
      <c r="B47" s="26"/>
      <c r="C47" s="23"/>
      <c r="D47" s="17"/>
      <c r="E47" s="415"/>
      <c r="F47" s="419"/>
    </row>
    <row r="48" spans="1:6" x14ac:dyDescent="0.25">
      <c r="A48" s="25"/>
      <c r="B48" s="26"/>
      <c r="C48" s="23"/>
      <c r="D48" s="13" t="s">
        <v>212</v>
      </c>
      <c r="E48" s="416">
        <f>E46+E26</f>
        <v>83049064.569999993</v>
      </c>
      <c r="F48" s="416">
        <f>F46+F26</f>
        <v>76924983.420000002</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674</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666</v>
      </c>
      <c r="B4" s="409">
        <f>SUM(B5:B7)</f>
        <v>6486187.7999999998</v>
      </c>
      <c r="C4" s="410"/>
      <c r="D4" s="410"/>
      <c r="E4" s="410"/>
      <c r="F4" s="409">
        <f>SUM(B4:E4)</f>
        <v>6486187.7999999998</v>
      </c>
    </row>
    <row r="5" spans="1:6" ht="11.25" customHeight="1" x14ac:dyDescent="0.2">
      <c r="A5" s="35" t="s">
        <v>138</v>
      </c>
      <c r="B5" s="411">
        <v>6486187.7999999998</v>
      </c>
      <c r="C5" s="410"/>
      <c r="D5" s="410"/>
      <c r="E5" s="410"/>
      <c r="F5" s="409">
        <f>SUM(B5:E5)</f>
        <v>6486187.7999999998</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667</v>
      </c>
      <c r="B9" s="410"/>
      <c r="C9" s="409">
        <f>SUM(C10:C14)</f>
        <v>49038791.810000002</v>
      </c>
      <c r="D9" s="409">
        <f>D10</f>
        <v>7960638.2300000004</v>
      </c>
      <c r="E9" s="410"/>
      <c r="F9" s="409">
        <f t="shared" ref="F9:F14" si="0">SUM(B9:E9)</f>
        <v>56999430.040000007</v>
      </c>
    </row>
    <row r="10" spans="1:6" ht="11.25" customHeight="1" x14ac:dyDescent="0.2">
      <c r="A10" s="35" t="s">
        <v>659</v>
      </c>
      <c r="B10" s="410"/>
      <c r="C10" s="410"/>
      <c r="D10" s="411">
        <v>7960638.2300000004</v>
      </c>
      <c r="E10" s="410"/>
      <c r="F10" s="409">
        <f t="shared" si="0"/>
        <v>7960638.2300000004</v>
      </c>
    </row>
    <row r="11" spans="1:6" ht="11.25" customHeight="1" x14ac:dyDescent="0.2">
      <c r="A11" s="35" t="s">
        <v>204</v>
      </c>
      <c r="B11" s="410"/>
      <c r="C11" s="411">
        <v>49038791.810000002</v>
      </c>
      <c r="D11" s="410"/>
      <c r="E11" s="410"/>
      <c r="F11" s="409">
        <f t="shared" si="0"/>
        <v>49038791.810000002</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669</v>
      </c>
      <c r="B20" s="409">
        <f>B4</f>
        <v>6486187.7999999998</v>
      </c>
      <c r="C20" s="409">
        <f>C9</f>
        <v>49038791.810000002</v>
      </c>
      <c r="D20" s="409">
        <f>D9</f>
        <v>7960638.2300000004</v>
      </c>
      <c r="E20" s="409">
        <f>E16</f>
        <v>0</v>
      </c>
      <c r="F20" s="409">
        <f>SUM(B20:E20)</f>
        <v>63485617.840000004</v>
      </c>
    </row>
    <row r="21" spans="1:6" ht="11.25" customHeight="1" x14ac:dyDescent="0.25">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671</v>
      </c>
      <c r="B27" s="410"/>
      <c r="C27" s="409">
        <f>C29</f>
        <v>7960638.2300000004</v>
      </c>
      <c r="D27" s="409">
        <f>SUM(D28:D32)</f>
        <v>-1952898.1400000006</v>
      </c>
      <c r="E27" s="410"/>
      <c r="F27" s="409">
        <f t="shared" ref="F27:F32" si="1">SUM(B27:E27)</f>
        <v>6007740.0899999999</v>
      </c>
    </row>
    <row r="28" spans="1:6" ht="11.25" customHeight="1" x14ac:dyDescent="0.2">
      <c r="A28" s="35" t="s">
        <v>659</v>
      </c>
      <c r="B28" s="410"/>
      <c r="C28" s="410"/>
      <c r="D28" s="411">
        <v>6007740.0899999999</v>
      </c>
      <c r="E28" s="410"/>
      <c r="F28" s="409">
        <f t="shared" si="1"/>
        <v>6007740.0899999999</v>
      </c>
    </row>
    <row r="29" spans="1:6" ht="11.25" customHeight="1" x14ac:dyDescent="0.2">
      <c r="A29" s="35" t="s">
        <v>204</v>
      </c>
      <c r="B29" s="410"/>
      <c r="C29" s="411">
        <v>7960638.2300000004</v>
      </c>
      <c r="D29" s="411">
        <v>-7960638.2300000004</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673</v>
      </c>
      <c r="B38" s="413">
        <f>B20+B22</f>
        <v>6486187.7999999998</v>
      </c>
      <c r="C38" s="413">
        <f>+C20+C27</f>
        <v>56999430.040000007</v>
      </c>
      <c r="D38" s="413">
        <f>D20+D27</f>
        <v>6007740.0899999999</v>
      </c>
      <c r="E38" s="413">
        <f>+E20+E34</f>
        <v>0</v>
      </c>
      <c r="F38" s="413">
        <f>SUM(B38:E38)</f>
        <v>69493357.930000007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675</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735033</v>
      </c>
      <c r="C3" s="407">
        <f>C4+C13</f>
        <v>6859114.1499999985</v>
      </c>
    </row>
    <row r="4" spans="1:3" ht="11.25" customHeight="1" x14ac:dyDescent="0.25">
      <c r="A4" s="43" t="s">
        <v>158</v>
      </c>
      <c r="B4" s="407">
        <f>SUM(B5:B11)</f>
        <v>0</v>
      </c>
      <c r="C4" s="407">
        <f>SUM(C5:C11)</f>
        <v>5828178.669999999</v>
      </c>
    </row>
    <row r="5" spans="1:3" ht="11.25" customHeight="1" x14ac:dyDescent="0.25">
      <c r="A5" s="44" t="s">
        <v>160</v>
      </c>
      <c r="B5" s="408">
        <v>0</v>
      </c>
      <c r="C5" s="408">
        <v>4276022.6399999997</v>
      </c>
    </row>
    <row r="6" spans="1:3" ht="11.25" customHeight="1" x14ac:dyDescent="0.25">
      <c r="A6" s="44" t="s">
        <v>162</v>
      </c>
      <c r="B6" s="408">
        <v>0</v>
      </c>
      <c r="C6" s="408">
        <v>1242734.3999999999</v>
      </c>
    </row>
    <row r="7" spans="1:3" ht="11.25" customHeight="1" x14ac:dyDescent="0.25">
      <c r="A7" s="44" t="s">
        <v>164</v>
      </c>
      <c r="B7" s="408">
        <v>0</v>
      </c>
      <c r="C7" s="408">
        <v>0</v>
      </c>
    </row>
    <row r="8" spans="1:3" ht="11.25" customHeight="1" x14ac:dyDescent="0.25">
      <c r="A8" s="44" t="s">
        <v>166</v>
      </c>
      <c r="B8" s="408">
        <v>0</v>
      </c>
      <c r="C8" s="408">
        <v>0</v>
      </c>
    </row>
    <row r="9" spans="1:3" ht="11.25" customHeight="1" x14ac:dyDescent="0.25">
      <c r="A9" s="44" t="s">
        <v>168</v>
      </c>
      <c r="B9" s="408">
        <v>0</v>
      </c>
      <c r="C9" s="408">
        <v>309421.63</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735033</v>
      </c>
      <c r="C13" s="407">
        <f>SUM(C14:C22)</f>
        <v>1030935.48</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0</v>
      </c>
    </row>
    <row r="17" spans="1:3" ht="11.25" customHeight="1" x14ac:dyDescent="0.25">
      <c r="A17" s="44" t="s">
        <v>184</v>
      </c>
      <c r="B17" s="408">
        <v>0</v>
      </c>
      <c r="C17" s="408">
        <v>879935.48</v>
      </c>
    </row>
    <row r="18" spans="1:3" ht="11.25" customHeight="1" x14ac:dyDescent="0.25">
      <c r="A18" s="44" t="s">
        <v>186</v>
      </c>
      <c r="B18" s="408">
        <v>0</v>
      </c>
      <c r="C18" s="408">
        <v>0</v>
      </c>
    </row>
    <row r="19" spans="1:3" ht="11.25" customHeight="1" x14ac:dyDescent="0.25">
      <c r="A19" s="44" t="s">
        <v>188</v>
      </c>
      <c r="B19" s="408">
        <v>735033</v>
      </c>
      <c r="C19" s="408">
        <v>0</v>
      </c>
    </row>
    <row r="20" spans="1:3" ht="11.25" customHeight="1" x14ac:dyDescent="0.25">
      <c r="A20" s="44" t="s">
        <v>190</v>
      </c>
      <c r="B20" s="408">
        <v>0</v>
      </c>
      <c r="C20" s="408">
        <v>151000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116341.06</v>
      </c>
      <c r="C24" s="407">
        <f>C25+C35</f>
        <v>0</v>
      </c>
    </row>
    <row r="25" spans="1:3" ht="11.25" customHeight="1" x14ac:dyDescent="0.25">
      <c r="A25" s="43" t="s">
        <v>159</v>
      </c>
      <c r="B25" s="407">
        <f>SUM(B26:B33)</f>
        <v>116341.06</v>
      </c>
      <c r="C25" s="407">
        <f>SUM(C26:C33)</f>
        <v>0</v>
      </c>
    </row>
    <row r="26" spans="1:3" ht="11.25" customHeight="1" x14ac:dyDescent="0.25">
      <c r="A26" s="44" t="s">
        <v>161</v>
      </c>
      <c r="B26" s="408">
        <v>116341.06</v>
      </c>
      <c r="C26" s="408">
        <v>0</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7960638.2300000004</v>
      </c>
      <c r="C43" s="407">
        <f>C45+C50+C57</f>
        <v>1952898.14</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7960638.2300000004</v>
      </c>
      <c r="C50" s="407">
        <f>SUM(C51:C55)</f>
        <v>1952898.14</v>
      </c>
    </row>
    <row r="51" spans="1:3" ht="11.25" customHeight="1" x14ac:dyDescent="0.25">
      <c r="A51" s="44" t="s">
        <v>660</v>
      </c>
      <c r="B51" s="408">
        <v>0</v>
      </c>
      <c r="C51" s="408">
        <v>1952898.14</v>
      </c>
    </row>
    <row r="52" spans="1:3" ht="11.25" customHeight="1" x14ac:dyDescent="0.25">
      <c r="A52" s="44" t="s">
        <v>204</v>
      </c>
      <c r="B52" s="408">
        <v>7960638.2300000004</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676</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17618422.66</v>
      </c>
      <c r="C4" s="401">
        <f>SUM(C5:C14)</f>
        <v>66533297.969999999</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17618422.66</v>
      </c>
      <c r="C11" s="402">
        <v>64033297.979999997</v>
      </c>
      <c r="D11" s="50">
        <v>700000</v>
      </c>
    </row>
    <row r="12" spans="1:22" ht="22.5" x14ac:dyDescent="0.2">
      <c r="A12" s="44" t="s">
        <v>112</v>
      </c>
      <c r="B12" s="402">
        <v>0</v>
      </c>
      <c r="C12" s="402">
        <v>0</v>
      </c>
      <c r="D12" s="50">
        <v>800000</v>
      </c>
    </row>
    <row r="13" spans="1:22" ht="11.25" customHeight="1" x14ac:dyDescent="0.2">
      <c r="A13" s="44" t="s">
        <v>113</v>
      </c>
      <c r="B13" s="402">
        <v>0</v>
      </c>
      <c r="C13" s="402">
        <v>2499999.9900000002</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11185071.200000001</v>
      </c>
      <c r="C16" s="401">
        <f>SUM(C17:C32)</f>
        <v>55374998.229999997</v>
      </c>
      <c r="D16" s="49" t="s">
        <v>221</v>
      </c>
    </row>
    <row r="17" spans="1:4" ht="11.25" customHeight="1" x14ac:dyDescent="0.2">
      <c r="A17" s="44" t="s">
        <v>123</v>
      </c>
      <c r="B17" s="402">
        <v>4053694.81</v>
      </c>
      <c r="C17" s="402">
        <v>17816591.879999999</v>
      </c>
      <c r="D17" s="50">
        <v>1000</v>
      </c>
    </row>
    <row r="18" spans="1:4" ht="11.25" customHeight="1" x14ac:dyDescent="0.2">
      <c r="A18" s="44" t="s">
        <v>124</v>
      </c>
      <c r="B18" s="402">
        <v>2162309.2400000002</v>
      </c>
      <c r="C18" s="402">
        <v>9492923.4399999995</v>
      </c>
      <c r="D18" s="50">
        <v>2000</v>
      </c>
    </row>
    <row r="19" spans="1:4" ht="11.25" customHeight="1" x14ac:dyDescent="0.2">
      <c r="A19" s="44" t="s">
        <v>125</v>
      </c>
      <c r="B19" s="402">
        <v>4969067.1500000004</v>
      </c>
      <c r="C19" s="402">
        <v>24844858.449999999</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3220624.46</v>
      </c>
      <c r="D31" s="50">
        <v>8500</v>
      </c>
    </row>
    <row r="32" spans="1:4" ht="11.25" customHeight="1" x14ac:dyDescent="0.2">
      <c r="A32" s="44" t="s">
        <v>225</v>
      </c>
      <c r="B32" s="402">
        <v>0</v>
      </c>
      <c r="C32" s="402">
        <v>0</v>
      </c>
      <c r="D32" s="49" t="s">
        <v>221</v>
      </c>
    </row>
    <row r="33" spans="1:4" ht="11.25" customHeight="1" x14ac:dyDescent="0.2">
      <c r="A33" s="34" t="s">
        <v>226</v>
      </c>
      <c r="B33" s="401">
        <f>B4-B16</f>
        <v>6433351.459999999</v>
      </c>
      <c r="C33" s="401">
        <f>C4-C16</f>
        <v>11158299.740000002</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1030935.48</v>
      </c>
      <c r="C41" s="401">
        <f>SUM(C42:C44)</f>
        <v>4214271.8099999996</v>
      </c>
      <c r="D41" s="49" t="s">
        <v>221</v>
      </c>
    </row>
    <row r="42" spans="1:4" ht="11.25" customHeight="1" x14ac:dyDescent="0.2">
      <c r="A42" s="44" t="s">
        <v>182</v>
      </c>
      <c r="B42" s="402">
        <v>151000</v>
      </c>
      <c r="C42" s="402">
        <v>419388.51</v>
      </c>
      <c r="D42" s="49">
        <v>6000</v>
      </c>
    </row>
    <row r="43" spans="1:4" ht="11.25" customHeight="1" x14ac:dyDescent="0.2">
      <c r="A43" s="44" t="s">
        <v>184</v>
      </c>
      <c r="B43" s="402">
        <v>879935.48</v>
      </c>
      <c r="C43" s="402">
        <v>3794883.3</v>
      </c>
      <c r="D43" s="49">
        <v>5000</v>
      </c>
    </row>
    <row r="44" spans="1:4" ht="11.25" customHeight="1" x14ac:dyDescent="0.2">
      <c r="A44" s="44" t="s">
        <v>229</v>
      </c>
      <c r="B44" s="402">
        <v>0</v>
      </c>
      <c r="C44" s="402">
        <v>0</v>
      </c>
      <c r="D44" s="49">
        <v>7000</v>
      </c>
    </row>
    <row r="45" spans="1:4" ht="11.25" customHeight="1" x14ac:dyDescent="0.2">
      <c r="A45" s="34" t="s">
        <v>230</v>
      </c>
      <c r="B45" s="401">
        <f>B36-B41</f>
        <v>-1030935.48</v>
      </c>
      <c r="C45" s="401">
        <f>C36-C41</f>
        <v>-4214271.8099999996</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0</v>
      </c>
      <c r="D52" s="51"/>
    </row>
    <row r="53" spans="1:4" ht="11.25" customHeight="1" x14ac:dyDescent="0.2">
      <c r="A53" s="45"/>
      <c r="B53" s="403"/>
      <c r="C53" s="403"/>
      <c r="D53" s="49" t="s">
        <v>221</v>
      </c>
    </row>
    <row r="54" spans="1:4" ht="11.25" customHeight="1" x14ac:dyDescent="0.2">
      <c r="A54" s="43" t="s">
        <v>219</v>
      </c>
      <c r="B54" s="401">
        <f>SUM(B55+B58)</f>
        <v>1126393.3400000001</v>
      </c>
      <c r="C54" s="401">
        <f>SUM(C55+C58)</f>
        <v>1184579.3799999999</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1126393.3400000001</v>
      </c>
      <c r="C58" s="402">
        <v>1184579.3799999999</v>
      </c>
      <c r="D58" s="49" t="s">
        <v>221</v>
      </c>
    </row>
    <row r="59" spans="1:4" ht="11.25" customHeight="1" x14ac:dyDescent="0.2">
      <c r="A59" s="34" t="s">
        <v>242</v>
      </c>
      <c r="B59" s="401">
        <f>B48-B54</f>
        <v>-1126393.3400000001</v>
      </c>
      <c r="C59" s="401">
        <f>C48-C54</f>
        <v>-1184579.3799999999</v>
      </c>
      <c r="D59" s="49" t="s">
        <v>221</v>
      </c>
    </row>
    <row r="60" spans="1:4" ht="11.25" customHeight="1" x14ac:dyDescent="0.2">
      <c r="A60" s="37"/>
      <c r="B60" s="403"/>
      <c r="C60" s="403"/>
      <c r="D60" s="49" t="s">
        <v>221</v>
      </c>
    </row>
    <row r="61" spans="1:4" ht="11.25" customHeight="1" x14ac:dyDescent="0.2">
      <c r="A61" s="34" t="s">
        <v>243</v>
      </c>
      <c r="B61" s="401">
        <f>B59+B45+B33</f>
        <v>4276022.6399999987</v>
      </c>
      <c r="C61" s="401">
        <f>C59+C45+C33</f>
        <v>5759448.5500000026</v>
      </c>
      <c r="D61" s="49" t="s">
        <v>221</v>
      </c>
    </row>
    <row r="62" spans="1:4" ht="11.25" customHeight="1" x14ac:dyDescent="0.2">
      <c r="A62" s="37"/>
      <c r="B62" s="403"/>
      <c r="C62" s="403"/>
      <c r="D62" s="49" t="s">
        <v>221</v>
      </c>
    </row>
    <row r="63" spans="1:4" ht="11.25" customHeight="1" x14ac:dyDescent="0.2">
      <c r="A63" s="34" t="s">
        <v>244</v>
      </c>
      <c r="B63" s="401">
        <v>9591219.3900000006</v>
      </c>
      <c r="C63" s="401">
        <v>3831770.84</v>
      </c>
      <c r="D63" s="49" t="s">
        <v>221</v>
      </c>
    </row>
    <row r="64" spans="1:4" ht="11.25" customHeight="1" x14ac:dyDescent="0.2">
      <c r="A64" s="37"/>
      <c r="B64" s="403"/>
      <c r="C64" s="403"/>
      <c r="D64" s="49" t="s">
        <v>221</v>
      </c>
    </row>
    <row r="65" spans="1:4" ht="11.25" customHeight="1" x14ac:dyDescent="0.2">
      <c r="A65" s="34" t="s">
        <v>245</v>
      </c>
      <c r="B65" s="401">
        <v>13867242.029999999</v>
      </c>
      <c r="C65" s="401">
        <v>9591219.3900000006</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677</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76924983.419999987</v>
      </c>
      <c r="C3" s="401">
        <f t="shared" ref="C3:F3" si="0">C4+C12</f>
        <v>43703028.040000007</v>
      </c>
      <c r="D3" s="401">
        <f t="shared" si="0"/>
        <v>37578946.889999993</v>
      </c>
      <c r="E3" s="401">
        <f t="shared" si="0"/>
        <v>83049064.569999993</v>
      </c>
      <c r="F3" s="401">
        <f t="shared" si="0"/>
        <v>6124081.1500000069</v>
      </c>
    </row>
    <row r="4" spans="1:6" x14ac:dyDescent="0.2">
      <c r="A4" s="56" t="s">
        <v>158</v>
      </c>
      <c r="B4" s="401">
        <f>SUM(B5:B11)</f>
        <v>37899011</v>
      </c>
      <c r="C4" s="401">
        <f>SUM(C5:C11)</f>
        <v>41792157.080000006</v>
      </c>
      <c r="D4" s="401">
        <f>SUM(D5:D11)</f>
        <v>35963978.409999996</v>
      </c>
      <c r="E4" s="401">
        <f>SUM(E5:E11)</f>
        <v>43727189.669999994</v>
      </c>
      <c r="F4" s="401">
        <f>SUM(F5:F11)</f>
        <v>5828178.6700000027</v>
      </c>
    </row>
    <row r="5" spans="1:6" x14ac:dyDescent="0.2">
      <c r="A5" s="57" t="s">
        <v>160</v>
      </c>
      <c r="B5" s="402">
        <v>9591219.3900000006</v>
      </c>
      <c r="C5" s="402">
        <v>19287581.98</v>
      </c>
      <c r="D5" s="402">
        <v>15011559.34</v>
      </c>
      <c r="E5" s="402">
        <f>B5+C5-D5</f>
        <v>13867242.030000001</v>
      </c>
      <c r="F5" s="402">
        <f t="shared" ref="F5:F11" si="1">E5-B5</f>
        <v>4276022.6400000006</v>
      </c>
    </row>
    <row r="6" spans="1:6" x14ac:dyDescent="0.2">
      <c r="A6" s="57" t="s">
        <v>162</v>
      </c>
      <c r="B6" s="402">
        <v>27092325.649999999</v>
      </c>
      <c r="C6" s="402">
        <v>21746317.920000002</v>
      </c>
      <c r="D6" s="402">
        <v>20503583.52</v>
      </c>
      <c r="E6" s="402">
        <f t="shared" ref="E6:E11" si="2">B6+C6-D6</f>
        <v>28335060.050000001</v>
      </c>
      <c r="F6" s="402">
        <f t="shared" si="1"/>
        <v>1242734.4000000022</v>
      </c>
    </row>
    <row r="7" spans="1:6" x14ac:dyDescent="0.2">
      <c r="A7" s="57" t="s">
        <v>164</v>
      </c>
      <c r="B7" s="402">
        <v>0</v>
      </c>
      <c r="C7" s="402">
        <v>0</v>
      </c>
      <c r="D7" s="402">
        <v>0</v>
      </c>
      <c r="E7" s="402">
        <f t="shared" si="2"/>
        <v>0</v>
      </c>
      <c r="F7" s="402">
        <f t="shared" si="1"/>
        <v>0</v>
      </c>
    </row>
    <row r="8" spans="1:6" x14ac:dyDescent="0.2">
      <c r="A8" s="57" t="s">
        <v>166</v>
      </c>
      <c r="B8" s="402">
        <v>0</v>
      </c>
      <c r="C8" s="402">
        <v>0</v>
      </c>
      <c r="D8" s="402">
        <v>0</v>
      </c>
      <c r="E8" s="402">
        <f t="shared" si="2"/>
        <v>0</v>
      </c>
      <c r="F8" s="402">
        <f t="shared" si="1"/>
        <v>0</v>
      </c>
    </row>
    <row r="9" spans="1:6" x14ac:dyDescent="0.2">
      <c r="A9" s="57" t="s">
        <v>168</v>
      </c>
      <c r="B9" s="402">
        <v>1167530.0900000001</v>
      </c>
      <c r="C9" s="402">
        <v>758257.18</v>
      </c>
      <c r="D9" s="402">
        <v>448835.55</v>
      </c>
      <c r="E9" s="402">
        <f t="shared" si="2"/>
        <v>1476951.72</v>
      </c>
      <c r="F9" s="402">
        <f t="shared" si="1"/>
        <v>309421.62999999989</v>
      </c>
    </row>
    <row r="10" spans="1:6" x14ac:dyDescent="0.2">
      <c r="A10" s="57" t="s">
        <v>170</v>
      </c>
      <c r="B10" s="402">
        <v>0</v>
      </c>
      <c r="C10" s="402">
        <v>0</v>
      </c>
      <c r="D10" s="402">
        <v>0</v>
      </c>
      <c r="E10" s="402">
        <f t="shared" si="2"/>
        <v>0</v>
      </c>
      <c r="F10" s="402">
        <f t="shared" si="1"/>
        <v>0</v>
      </c>
    </row>
    <row r="11" spans="1:6" x14ac:dyDescent="0.2">
      <c r="A11" s="57" t="s">
        <v>172</v>
      </c>
      <c r="B11" s="402">
        <v>47935.87</v>
      </c>
      <c r="C11" s="402">
        <v>0</v>
      </c>
      <c r="D11" s="402">
        <v>0</v>
      </c>
      <c r="E11" s="402">
        <f t="shared" si="2"/>
        <v>47935.87</v>
      </c>
      <c r="F11" s="402">
        <f t="shared" si="1"/>
        <v>0</v>
      </c>
    </row>
    <row r="12" spans="1:6" x14ac:dyDescent="0.2">
      <c r="A12" s="56" t="s">
        <v>177</v>
      </c>
      <c r="B12" s="401">
        <f>SUM(B13:B21)</f>
        <v>39025972.419999994</v>
      </c>
      <c r="C12" s="401">
        <f>SUM(C13:C21)</f>
        <v>1910870.96</v>
      </c>
      <c r="D12" s="401">
        <f>SUM(D13:D21)</f>
        <v>1614968.48</v>
      </c>
      <c r="E12" s="401">
        <f>SUM(E13:E21)</f>
        <v>39321874.899999999</v>
      </c>
      <c r="F12" s="401">
        <f>SUM(F13:F21)</f>
        <v>295902.48000000417</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21393894.300000001</v>
      </c>
      <c r="C15" s="404">
        <v>0</v>
      </c>
      <c r="D15" s="404">
        <v>0</v>
      </c>
      <c r="E15" s="404">
        <f t="shared" si="4"/>
        <v>21393894.300000001</v>
      </c>
      <c r="F15" s="404">
        <f t="shared" si="3"/>
        <v>0</v>
      </c>
    </row>
    <row r="16" spans="1:6" x14ac:dyDescent="0.2">
      <c r="A16" s="57" t="s">
        <v>184</v>
      </c>
      <c r="B16" s="402">
        <v>33321649.969999999</v>
      </c>
      <c r="C16" s="402">
        <v>1759870.96</v>
      </c>
      <c r="D16" s="402">
        <v>879935.48</v>
      </c>
      <c r="E16" s="402">
        <f t="shared" si="4"/>
        <v>34201585.450000003</v>
      </c>
      <c r="F16" s="402">
        <f t="shared" si="3"/>
        <v>879935.48000000417</v>
      </c>
    </row>
    <row r="17" spans="1:6" x14ac:dyDescent="0.2">
      <c r="A17" s="57" t="s">
        <v>186</v>
      </c>
      <c r="B17" s="402">
        <v>2714771</v>
      </c>
      <c r="C17" s="402">
        <v>0</v>
      </c>
      <c r="D17" s="402">
        <v>0</v>
      </c>
      <c r="E17" s="402">
        <f t="shared" si="4"/>
        <v>2714771</v>
      </c>
      <c r="F17" s="402">
        <f t="shared" si="3"/>
        <v>0</v>
      </c>
    </row>
    <row r="18" spans="1:6" x14ac:dyDescent="0.2">
      <c r="A18" s="57" t="s">
        <v>188</v>
      </c>
      <c r="B18" s="402">
        <v>-20513496.359999999</v>
      </c>
      <c r="C18" s="402">
        <v>0</v>
      </c>
      <c r="D18" s="402">
        <v>735033</v>
      </c>
      <c r="E18" s="402">
        <f t="shared" si="4"/>
        <v>-21248529.359999999</v>
      </c>
      <c r="F18" s="402">
        <f t="shared" si="3"/>
        <v>-735033</v>
      </c>
    </row>
    <row r="19" spans="1:6" x14ac:dyDescent="0.2">
      <c r="A19" s="57" t="s">
        <v>190</v>
      </c>
      <c r="B19" s="402">
        <v>2109153.5099999998</v>
      </c>
      <c r="C19" s="402">
        <v>151000</v>
      </c>
      <c r="D19" s="402">
        <v>0</v>
      </c>
      <c r="E19" s="402">
        <f t="shared" si="4"/>
        <v>2260153.5099999998</v>
      </c>
      <c r="F19" s="402">
        <f t="shared" si="3"/>
        <v>151000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2026-04-29T20:05:22Z</dcterms:modified>
</cp:coreProperties>
</file>